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195" windowHeight="9720" tabRatio="904" firstSheet="6" activeTab="6"/>
  </bookViews>
  <sheets>
    <sheet name="PRESUPUESTO 2011" sheetId="13" state="hidden" r:id="rId1"/>
    <sheet name="listado empleados" sheetId="14" state="hidden" r:id="rId2"/>
    <sheet name="PRESUPUESTO 2010" sheetId="8" state="hidden" r:id="rId3"/>
    <sheet name="estado actividades (2)" sheetId="9" state="hidden" r:id="rId4"/>
    <sheet name="RESUMEN" sheetId="21" state="hidden" r:id="rId5"/>
    <sheet name="PRESUPUESTO 2013" sheetId="22" state="hidden" r:id="rId6"/>
    <sheet name="Julio" sheetId="30" r:id="rId7"/>
  </sheets>
  <definedNames>
    <definedName name="_xlnm.Print_Area" localSheetId="3">'estado actividades (2)'!$C$1:$AI$62</definedName>
    <definedName name="_xlnm.Print_Area" localSheetId="6">Julio!$B$1:$E$50</definedName>
    <definedName name="_xlnm.Print_Area" localSheetId="1">'listado empleados'!$B$2:$N$49</definedName>
    <definedName name="_xlnm.Print_Area" localSheetId="2">'PRESUPUESTO 2010'!$B$1:$AH$158</definedName>
    <definedName name="_xlnm.Print_Area" localSheetId="0">'PRESUPUESTO 2011'!$E$109:$V$161</definedName>
    <definedName name="_xlnm.Print_Area" localSheetId="5">'PRESUPUESTO 2013'!$E$8:$Z$167</definedName>
    <definedName name="_xlnm.Print_Area" localSheetId="4">RESUMEN!$C$1:$J$30</definedName>
    <definedName name="Consulta_desde_VisionDatc" localSheetId="1">'listado empleados'!$B$3:$E$48</definedName>
    <definedName name="_xlnm.Print_Titles" localSheetId="3">'estado actividades (2)'!$1:$8</definedName>
    <definedName name="_xlnm.Print_Titles" localSheetId="6">Julio!$2:$9</definedName>
    <definedName name="_xlnm.Print_Titles" localSheetId="2">'PRESUPUESTO 2010'!$1:$8</definedName>
    <definedName name="_xlnm.Print_Titles" localSheetId="0">'PRESUPUESTO 2011'!$1:$8</definedName>
    <definedName name="_xlnm.Print_Titles" localSheetId="5">'PRESUPUESTO 2013'!$2:$9</definedName>
    <definedName name="_xlnm.Print_Titles" localSheetId="4">RESUMEN!$1:$8</definedName>
  </definedNames>
  <calcPr calcId="125725"/>
</workbook>
</file>

<file path=xl/calcChain.xml><?xml version="1.0" encoding="utf-8"?>
<calcChain xmlns="http://schemas.openxmlformats.org/spreadsheetml/2006/main">
  <c r="E33" i="30"/>
  <c r="E28"/>
  <c r="E42" l="1"/>
  <c r="D42"/>
  <c r="D33"/>
  <c r="D28"/>
  <c r="E45" l="1"/>
  <c r="D45"/>
  <c r="AL38" i="22"/>
  <c r="Z120"/>
  <c r="Z119"/>
  <c r="Z118"/>
  <c r="Z117"/>
  <c r="Z116"/>
  <c r="Z115"/>
  <c r="Z114"/>
  <c r="Z113"/>
  <c r="Z40"/>
  <c r="Z37"/>
  <c r="Z36"/>
  <c r="Z35"/>
  <c r="Z34"/>
  <c r="Z33"/>
  <c r="Z32"/>
  <c r="Z31"/>
  <c r="Z30"/>
  <c r="Z29"/>
  <c r="Z26"/>
  <c r="Z25"/>
  <c r="Z24"/>
  <c r="Z23"/>
  <c r="Z22"/>
  <c r="Z21"/>
  <c r="Z20"/>
  <c r="Z19"/>
  <c r="Z16"/>
  <c r="Z15"/>
  <c r="Z14"/>
  <c r="Z13"/>
  <c r="AC85"/>
  <c r="E20"/>
  <c r="E42" s="1"/>
  <c r="E38"/>
  <c r="E46"/>
  <c r="E50"/>
  <c r="E66"/>
  <c r="E69"/>
  <c r="E72"/>
  <c r="E92"/>
  <c r="E108"/>
  <c r="E121"/>
  <c r="E157"/>
  <c r="E158" s="1"/>
  <c r="AZ142"/>
  <c r="AZ143"/>
  <c r="AZ154"/>
  <c r="AY68"/>
  <c r="AX68"/>
  <c r="AW68"/>
  <c r="AV68"/>
  <c r="AU68"/>
  <c r="AT68"/>
  <c r="AS68"/>
  <c r="AR68"/>
  <c r="AQ68"/>
  <c r="AP68"/>
  <c r="AO68"/>
  <c r="AN68"/>
  <c r="AO67"/>
  <c r="AP67"/>
  <c r="AQ67"/>
  <c r="AR67"/>
  <c r="AS67"/>
  <c r="AT67"/>
  <c r="AU67"/>
  <c r="AV67"/>
  <c r="AW67"/>
  <c r="AY67"/>
  <c r="AN67"/>
  <c r="AY6"/>
  <c r="AX6"/>
  <c r="AW6"/>
  <c r="AY5"/>
  <c r="AX5"/>
  <c r="AW5"/>
  <c r="AW66" s="1"/>
  <c r="AV6"/>
  <c r="AU6"/>
  <c r="AT6"/>
  <c r="AV5"/>
  <c r="AV66" s="1"/>
  <c r="AU5"/>
  <c r="AT5"/>
  <c r="AS6"/>
  <c r="AR6"/>
  <c r="AQ6"/>
  <c r="AS5"/>
  <c r="AR5"/>
  <c r="AQ5"/>
  <c r="AQ66" s="1"/>
  <c r="AP6"/>
  <c r="AO6"/>
  <c r="AP5"/>
  <c r="AP66" s="1"/>
  <c r="AO5"/>
  <c r="AO66" s="1"/>
  <c r="AN5"/>
  <c r="AN6"/>
  <c r="AN8" s="1"/>
  <c r="AO46"/>
  <c r="AP46"/>
  <c r="AQ46"/>
  <c r="AR46"/>
  <c r="AS46"/>
  <c r="AT46"/>
  <c r="AU46"/>
  <c r="AV46"/>
  <c r="AW46"/>
  <c r="AX46"/>
  <c r="AY46"/>
  <c r="AN46"/>
  <c r="E110" l="1"/>
  <c r="E62"/>
  <c r="AS66"/>
  <c r="AT66"/>
  <c r="AY66"/>
  <c r="AZ157"/>
  <c r="AZ158" s="1"/>
  <c r="E122"/>
  <c r="E124" s="1"/>
  <c r="AN66"/>
  <c r="AR66"/>
  <c r="AU66"/>
  <c r="AX66"/>
  <c r="E159"/>
  <c r="E165" s="1"/>
  <c r="E167" s="1"/>
  <c r="AA163"/>
  <c r="AB163"/>
  <c r="AC163"/>
  <c r="AD163"/>
  <c r="AE163"/>
  <c r="AF163"/>
  <c r="AG163"/>
  <c r="AH163"/>
  <c r="AI163"/>
  <c r="AJ163"/>
  <c r="AK163"/>
  <c r="AL163"/>
  <c r="AA164"/>
  <c r="AB164"/>
  <c r="AC164"/>
  <c r="AD164"/>
  <c r="AE164"/>
  <c r="AF164"/>
  <c r="AG164"/>
  <c r="AH164"/>
  <c r="AI164"/>
  <c r="AJ164"/>
  <c r="AK164"/>
  <c r="AL164"/>
  <c r="Z163"/>
  <c r="Z164" s="1"/>
  <c r="AK42"/>
  <c r="AJ42"/>
  <c r="AI42"/>
  <c r="AH42"/>
  <c r="AG42"/>
  <c r="AF42"/>
  <c r="AE42"/>
  <c r="AD42"/>
  <c r="AC42"/>
  <c r="AB42"/>
  <c r="AA42"/>
  <c r="AO50"/>
  <c r="AA50" s="1"/>
  <c r="AQ50"/>
  <c r="AC50" s="1"/>
  <c r="AS50"/>
  <c r="AE50" s="1"/>
  <c r="AU50"/>
  <c r="AG50" s="1"/>
  <c r="AW50"/>
  <c r="AI50" s="1"/>
  <c r="AY50"/>
  <c r="AK50" s="1"/>
  <c r="AN51"/>
  <c r="AO51"/>
  <c r="AP51"/>
  <c r="AQ51"/>
  <c r="AR51"/>
  <c r="AS51"/>
  <c r="AT51"/>
  <c r="AU51"/>
  <c r="AV51"/>
  <c r="AW51"/>
  <c r="AX51"/>
  <c r="AY51"/>
  <c r="AN52"/>
  <c r="Z52" s="1"/>
  <c r="AO52"/>
  <c r="AA52" s="1"/>
  <c r="AL52" s="1"/>
  <c r="AP52"/>
  <c r="AB52" s="1"/>
  <c r="AQ52"/>
  <c r="AC52" s="1"/>
  <c r="AR52"/>
  <c r="AD52" s="1"/>
  <c r="AS52"/>
  <c r="AE52" s="1"/>
  <c r="AT52"/>
  <c r="AF52" s="1"/>
  <c r="AU52"/>
  <c r="AG52" s="1"/>
  <c r="AV52"/>
  <c r="AH52" s="1"/>
  <c r="AW52"/>
  <c r="AI52" s="1"/>
  <c r="AX52"/>
  <c r="AJ52" s="1"/>
  <c r="AY52"/>
  <c r="AK52" s="1"/>
  <c r="AN53"/>
  <c r="Z53" s="1"/>
  <c r="AO53"/>
  <c r="AA53" s="1"/>
  <c r="AL53" s="1"/>
  <c r="AP53"/>
  <c r="AB53" s="1"/>
  <c r="AQ53"/>
  <c r="AC53" s="1"/>
  <c r="AR53"/>
  <c r="AD53" s="1"/>
  <c r="AS53"/>
  <c r="AE53" s="1"/>
  <c r="AT53"/>
  <c r="AF53" s="1"/>
  <c r="AU53"/>
  <c r="AG53" s="1"/>
  <c r="AV53"/>
  <c r="AH53" s="1"/>
  <c r="AW53"/>
  <c r="AI53" s="1"/>
  <c r="AX53"/>
  <c r="AJ53" s="1"/>
  <c r="AY53"/>
  <c r="AK53" s="1"/>
  <c r="AN54"/>
  <c r="Z54" s="1"/>
  <c r="AO54"/>
  <c r="AA54" s="1"/>
  <c r="AL54" s="1"/>
  <c r="AP54"/>
  <c r="AB54" s="1"/>
  <c r="AQ54"/>
  <c r="AC54" s="1"/>
  <c r="AR54"/>
  <c r="AD54" s="1"/>
  <c r="AS54"/>
  <c r="AE54" s="1"/>
  <c r="AT54"/>
  <c r="AF54" s="1"/>
  <c r="AU54"/>
  <c r="AG54" s="1"/>
  <c r="AV54"/>
  <c r="AH54" s="1"/>
  <c r="AW54"/>
  <c r="AI54" s="1"/>
  <c r="AX54"/>
  <c r="AJ54" s="1"/>
  <c r="AY54"/>
  <c r="AK54" s="1"/>
  <c r="AN55"/>
  <c r="Z55" s="1"/>
  <c r="AO55"/>
  <c r="AA55" s="1"/>
  <c r="AP55"/>
  <c r="AB55" s="1"/>
  <c r="AQ55"/>
  <c r="AC55" s="1"/>
  <c r="AR55"/>
  <c r="AD55" s="1"/>
  <c r="AS55"/>
  <c r="AE55" s="1"/>
  <c r="AT55"/>
  <c r="AF55" s="1"/>
  <c r="AU55"/>
  <c r="AG55" s="1"/>
  <c r="AV55"/>
  <c r="AH55" s="1"/>
  <c r="AW55"/>
  <c r="AI55" s="1"/>
  <c r="AX55"/>
  <c r="AJ55" s="1"/>
  <c r="AY55"/>
  <c r="AK55" s="1"/>
  <c r="AN56"/>
  <c r="Z56" s="1"/>
  <c r="AO56"/>
  <c r="AA56" s="1"/>
  <c r="AL56" s="1"/>
  <c r="AP56"/>
  <c r="AB56" s="1"/>
  <c r="AQ56"/>
  <c r="AC56" s="1"/>
  <c r="AR56"/>
  <c r="AD56" s="1"/>
  <c r="AS56"/>
  <c r="AE56" s="1"/>
  <c r="AT56"/>
  <c r="AF56" s="1"/>
  <c r="AU56"/>
  <c r="AG56" s="1"/>
  <c r="AV56"/>
  <c r="AH56" s="1"/>
  <c r="AW56"/>
  <c r="AI56" s="1"/>
  <c r="AX56"/>
  <c r="AJ56" s="1"/>
  <c r="AY56"/>
  <c r="AK56" s="1"/>
  <c r="AN57"/>
  <c r="Z57" s="1"/>
  <c r="AO57"/>
  <c r="AA57" s="1"/>
  <c r="AL57" s="1"/>
  <c r="AP57"/>
  <c r="AB57" s="1"/>
  <c r="AQ57"/>
  <c r="AC57" s="1"/>
  <c r="AR57"/>
  <c r="AD57" s="1"/>
  <c r="AS57"/>
  <c r="AE57" s="1"/>
  <c r="AT57"/>
  <c r="AF57" s="1"/>
  <c r="AU57"/>
  <c r="AG57" s="1"/>
  <c r="AV57"/>
  <c r="AH57" s="1"/>
  <c r="AW57"/>
  <c r="AI57" s="1"/>
  <c r="AX57"/>
  <c r="AJ57" s="1"/>
  <c r="AY57"/>
  <c r="AK57" s="1"/>
  <c r="AN58"/>
  <c r="Z58" s="1"/>
  <c r="AO58"/>
  <c r="AA58" s="1"/>
  <c r="AL58" s="1"/>
  <c r="AP58"/>
  <c r="AB58" s="1"/>
  <c r="AQ58"/>
  <c r="AC58" s="1"/>
  <c r="AR58"/>
  <c r="AD58" s="1"/>
  <c r="AS58"/>
  <c r="AE58" s="1"/>
  <c r="AT58"/>
  <c r="AF58" s="1"/>
  <c r="AU58"/>
  <c r="AG58" s="1"/>
  <c r="AV58"/>
  <c r="AH58" s="1"/>
  <c r="AW58"/>
  <c r="AI58" s="1"/>
  <c r="AX58"/>
  <c r="AJ58" s="1"/>
  <c r="AY58"/>
  <c r="AK58" s="1"/>
  <c r="AN59"/>
  <c r="Z59" s="1"/>
  <c r="AO59"/>
  <c r="AA59" s="1"/>
  <c r="AP59"/>
  <c r="AB59" s="1"/>
  <c r="AQ59"/>
  <c r="AC59" s="1"/>
  <c r="AR59"/>
  <c r="AD59" s="1"/>
  <c r="AS59"/>
  <c r="AE59" s="1"/>
  <c r="AT59"/>
  <c r="AF59" s="1"/>
  <c r="AU59"/>
  <c r="AG59" s="1"/>
  <c r="AV59"/>
  <c r="AH59" s="1"/>
  <c r="AW59"/>
  <c r="AI59" s="1"/>
  <c r="AX59"/>
  <c r="AJ59" s="1"/>
  <c r="AY59"/>
  <c r="AK59" s="1"/>
  <c r="AN60"/>
  <c r="Z60" s="1"/>
  <c r="AO60"/>
  <c r="AA60" s="1"/>
  <c r="AL60" s="1"/>
  <c r="AP60"/>
  <c r="AB60" s="1"/>
  <c r="AQ60"/>
  <c r="AC60" s="1"/>
  <c r="AR60"/>
  <c r="AD60" s="1"/>
  <c r="AS60"/>
  <c r="AE60" s="1"/>
  <c r="AT60"/>
  <c r="AF60" s="1"/>
  <c r="AU60"/>
  <c r="AG60" s="1"/>
  <c r="AV60"/>
  <c r="AH60" s="1"/>
  <c r="AW60"/>
  <c r="AI60" s="1"/>
  <c r="AX60"/>
  <c r="AJ60" s="1"/>
  <c r="AY60"/>
  <c r="AK60" s="1"/>
  <c r="AN61"/>
  <c r="Z61" s="1"/>
  <c r="AO61"/>
  <c r="AA61" s="1"/>
  <c r="AL61" s="1"/>
  <c r="AP61"/>
  <c r="AB61" s="1"/>
  <c r="AQ61"/>
  <c r="AC61" s="1"/>
  <c r="AR61"/>
  <c r="AD61" s="1"/>
  <c r="AS61"/>
  <c r="AE61" s="1"/>
  <c r="AT61"/>
  <c r="AF61" s="1"/>
  <c r="AU61"/>
  <c r="AG61" s="1"/>
  <c r="AV61"/>
  <c r="AH61" s="1"/>
  <c r="AW61"/>
  <c r="AI61" s="1"/>
  <c r="AX61"/>
  <c r="AJ61" s="1"/>
  <c r="AY61"/>
  <c r="AK61" s="1"/>
  <c r="AY49"/>
  <c r="AK49" s="1"/>
  <c r="AX49"/>
  <c r="AJ49" s="1"/>
  <c r="AW49"/>
  <c r="AI49" s="1"/>
  <c r="AV49"/>
  <c r="AH49" s="1"/>
  <c r="AU49"/>
  <c r="AG49" s="1"/>
  <c r="AT49"/>
  <c r="AF49" s="1"/>
  <c r="AS49"/>
  <c r="AE49" s="1"/>
  <c r="AR49"/>
  <c r="AD49" s="1"/>
  <c r="AQ49"/>
  <c r="AC49" s="1"/>
  <c r="AP49"/>
  <c r="AB49" s="1"/>
  <c r="AL49" s="1"/>
  <c r="AO49"/>
  <c r="AA49" s="1"/>
  <c r="AN49"/>
  <c r="Z49" s="1"/>
  <c r="AA121"/>
  <c r="AB121"/>
  <c r="AC121"/>
  <c r="AD121"/>
  <c r="AE121"/>
  <c r="AF121"/>
  <c r="AG121"/>
  <c r="AH121"/>
  <c r="AI121"/>
  <c r="AJ121"/>
  <c r="AK121"/>
  <c r="AL128"/>
  <c r="AL129"/>
  <c r="AL130"/>
  <c r="AL131"/>
  <c r="AL132"/>
  <c r="AL133"/>
  <c r="AL134"/>
  <c r="AL135"/>
  <c r="AL136"/>
  <c r="AL137"/>
  <c r="AL138"/>
  <c r="AL139"/>
  <c r="AL140"/>
  <c r="AL141"/>
  <c r="AL144"/>
  <c r="AL145"/>
  <c r="AL146"/>
  <c r="AL147"/>
  <c r="AL148"/>
  <c r="AL149"/>
  <c r="AL150"/>
  <c r="AL151"/>
  <c r="AL152"/>
  <c r="AL153"/>
  <c r="AL155"/>
  <c r="AL156"/>
  <c r="AL127"/>
  <c r="AA142"/>
  <c r="AB142"/>
  <c r="AC142"/>
  <c r="AD142"/>
  <c r="AE142"/>
  <c r="AF142"/>
  <c r="AG142"/>
  <c r="AH142"/>
  <c r="AI142"/>
  <c r="AJ142"/>
  <c r="AK142"/>
  <c r="Z142"/>
  <c r="AA143"/>
  <c r="AB143"/>
  <c r="AC143"/>
  <c r="AD143"/>
  <c r="AE143"/>
  <c r="AF143"/>
  <c r="AG143"/>
  <c r="AH143"/>
  <c r="AI143"/>
  <c r="AJ143"/>
  <c r="AK143"/>
  <c r="Z143"/>
  <c r="AA154"/>
  <c r="AB154"/>
  <c r="AC154"/>
  <c r="AD154"/>
  <c r="AE154"/>
  <c r="AF154"/>
  <c r="AG154"/>
  <c r="AH154"/>
  <c r="AI154"/>
  <c r="AJ154"/>
  <c r="AK154"/>
  <c r="Z154"/>
  <c r="AN71"/>
  <c r="Z71" s="1"/>
  <c r="AO71"/>
  <c r="AA71" s="1"/>
  <c r="AP71"/>
  <c r="AB71" s="1"/>
  <c r="AQ71"/>
  <c r="AC71" s="1"/>
  <c r="AL71" s="1"/>
  <c r="AR71"/>
  <c r="AD71" s="1"/>
  <c r="AS71"/>
  <c r="AE71" s="1"/>
  <c r="AT71"/>
  <c r="AF71" s="1"/>
  <c r="AU71"/>
  <c r="AG71" s="1"/>
  <c r="AV71"/>
  <c r="AH71" s="1"/>
  <c r="AW71"/>
  <c r="AI71" s="1"/>
  <c r="AX71"/>
  <c r="AJ71" s="1"/>
  <c r="AY71"/>
  <c r="AK71" s="1"/>
  <c r="AO72"/>
  <c r="AA72" s="1"/>
  <c r="AQ72"/>
  <c r="AC72" s="1"/>
  <c r="AS72"/>
  <c r="AE72" s="1"/>
  <c r="AU72"/>
  <c r="AG72" s="1"/>
  <c r="AW72"/>
  <c r="AI72" s="1"/>
  <c r="AY72"/>
  <c r="AK72" s="1"/>
  <c r="AN73"/>
  <c r="Z73" s="1"/>
  <c r="AO73"/>
  <c r="AA73" s="1"/>
  <c r="AL73" s="1"/>
  <c r="AP73"/>
  <c r="AB73" s="1"/>
  <c r="AQ73"/>
  <c r="AC73" s="1"/>
  <c r="AR73"/>
  <c r="AD73" s="1"/>
  <c r="AS73"/>
  <c r="AE73" s="1"/>
  <c r="AT73"/>
  <c r="AF73" s="1"/>
  <c r="AU73"/>
  <c r="AG73" s="1"/>
  <c r="AV73"/>
  <c r="AH73" s="1"/>
  <c r="AW73"/>
  <c r="AI73" s="1"/>
  <c r="AX73"/>
  <c r="AJ73" s="1"/>
  <c r="AY73"/>
  <c r="AK73" s="1"/>
  <c r="AN74"/>
  <c r="Z74" s="1"/>
  <c r="AO74"/>
  <c r="AA74" s="1"/>
  <c r="AP74"/>
  <c r="AB74" s="1"/>
  <c r="AQ74"/>
  <c r="AC74" s="1"/>
  <c r="AR74"/>
  <c r="AD74" s="1"/>
  <c r="AS74"/>
  <c r="AE74" s="1"/>
  <c r="AT74"/>
  <c r="AF74" s="1"/>
  <c r="AU74"/>
  <c r="AG74" s="1"/>
  <c r="AV74"/>
  <c r="AH74" s="1"/>
  <c r="AW74"/>
  <c r="AI74" s="1"/>
  <c r="AX74"/>
  <c r="AJ74" s="1"/>
  <c r="AY74"/>
  <c r="AK74" s="1"/>
  <c r="AN75"/>
  <c r="Z75" s="1"/>
  <c r="AO75"/>
  <c r="AA75" s="1"/>
  <c r="AL75" s="1"/>
  <c r="AP75"/>
  <c r="AB75" s="1"/>
  <c r="AQ75"/>
  <c r="AC75" s="1"/>
  <c r="AR75"/>
  <c r="AD75" s="1"/>
  <c r="AS75"/>
  <c r="AE75" s="1"/>
  <c r="AT75"/>
  <c r="AF75" s="1"/>
  <c r="AU75"/>
  <c r="AG75" s="1"/>
  <c r="AV75"/>
  <c r="AH75" s="1"/>
  <c r="AW75"/>
  <c r="AI75" s="1"/>
  <c r="AX75"/>
  <c r="AJ75" s="1"/>
  <c r="AY75"/>
  <c r="AK75" s="1"/>
  <c r="AN76"/>
  <c r="Z76" s="1"/>
  <c r="AO76"/>
  <c r="AA76" s="1"/>
  <c r="AL76" s="1"/>
  <c r="AP76"/>
  <c r="AB76" s="1"/>
  <c r="AQ76"/>
  <c r="AC76" s="1"/>
  <c r="AR76"/>
  <c r="AD76" s="1"/>
  <c r="AS76"/>
  <c r="AE76" s="1"/>
  <c r="AT76"/>
  <c r="AF76" s="1"/>
  <c r="AU76"/>
  <c r="AG76" s="1"/>
  <c r="AV76"/>
  <c r="AH76" s="1"/>
  <c r="AW76"/>
  <c r="AI76" s="1"/>
  <c r="AX76"/>
  <c r="AJ76" s="1"/>
  <c r="AY76"/>
  <c r="AK76" s="1"/>
  <c r="AN77"/>
  <c r="Z77" s="1"/>
  <c r="AO77"/>
  <c r="AA77" s="1"/>
  <c r="AL77" s="1"/>
  <c r="AP77"/>
  <c r="AB77" s="1"/>
  <c r="AQ77"/>
  <c r="AC77" s="1"/>
  <c r="AR77"/>
  <c r="AD77" s="1"/>
  <c r="AS77"/>
  <c r="AE77" s="1"/>
  <c r="AT77"/>
  <c r="AF77" s="1"/>
  <c r="AU77"/>
  <c r="AG77" s="1"/>
  <c r="AV77"/>
  <c r="AH77" s="1"/>
  <c r="AW77"/>
  <c r="AI77" s="1"/>
  <c r="AX77"/>
  <c r="AJ77" s="1"/>
  <c r="AY77"/>
  <c r="AK77" s="1"/>
  <c r="AN78"/>
  <c r="Z78" s="1"/>
  <c r="AO78"/>
  <c r="AA78" s="1"/>
  <c r="AP78"/>
  <c r="AB78" s="1"/>
  <c r="AQ78"/>
  <c r="AC78" s="1"/>
  <c r="AR78"/>
  <c r="AD78" s="1"/>
  <c r="AS78"/>
  <c r="AE78" s="1"/>
  <c r="AT78"/>
  <c r="AF78" s="1"/>
  <c r="AU78"/>
  <c r="AG78" s="1"/>
  <c r="AV78"/>
  <c r="AH78" s="1"/>
  <c r="AW78"/>
  <c r="AI78" s="1"/>
  <c r="AX78"/>
  <c r="AJ78" s="1"/>
  <c r="AY78"/>
  <c r="AK78" s="1"/>
  <c r="AN79"/>
  <c r="Z79" s="1"/>
  <c r="AO79"/>
  <c r="AA79" s="1"/>
  <c r="AL79" s="1"/>
  <c r="AP79"/>
  <c r="AB79" s="1"/>
  <c r="AQ79"/>
  <c r="AC79" s="1"/>
  <c r="AR79"/>
  <c r="AD79" s="1"/>
  <c r="AS79"/>
  <c r="AE79" s="1"/>
  <c r="AT79"/>
  <c r="AF79" s="1"/>
  <c r="AU79"/>
  <c r="AG79" s="1"/>
  <c r="AV79"/>
  <c r="AH79" s="1"/>
  <c r="AW79"/>
  <c r="AI79" s="1"/>
  <c r="AX79"/>
  <c r="AJ79" s="1"/>
  <c r="AY79"/>
  <c r="AK79" s="1"/>
  <c r="AN80"/>
  <c r="Z80" s="1"/>
  <c r="AO80"/>
  <c r="AA80" s="1"/>
  <c r="AL80" s="1"/>
  <c r="AP80"/>
  <c r="AB80" s="1"/>
  <c r="AQ80"/>
  <c r="AC80" s="1"/>
  <c r="AR80"/>
  <c r="AD80" s="1"/>
  <c r="AS80"/>
  <c r="AE80" s="1"/>
  <c r="AT80"/>
  <c r="AF80" s="1"/>
  <c r="AU80"/>
  <c r="AG80" s="1"/>
  <c r="AV80"/>
  <c r="AH80" s="1"/>
  <c r="AW80"/>
  <c r="AI80" s="1"/>
  <c r="AX80"/>
  <c r="AJ80" s="1"/>
  <c r="AY80"/>
  <c r="AK80" s="1"/>
  <c r="AN81"/>
  <c r="Z81" s="1"/>
  <c r="AO81"/>
  <c r="AA81" s="1"/>
  <c r="AL81" s="1"/>
  <c r="AP81"/>
  <c r="AB81" s="1"/>
  <c r="AQ81"/>
  <c r="AC81" s="1"/>
  <c r="AR81"/>
  <c r="AD81" s="1"/>
  <c r="AS81"/>
  <c r="AE81" s="1"/>
  <c r="AT81"/>
  <c r="AF81" s="1"/>
  <c r="AU81"/>
  <c r="AG81" s="1"/>
  <c r="AV81"/>
  <c r="AH81" s="1"/>
  <c r="AW81"/>
  <c r="AI81" s="1"/>
  <c r="AX81"/>
  <c r="AJ81" s="1"/>
  <c r="AY81"/>
  <c r="AK81" s="1"/>
  <c r="AN82"/>
  <c r="Z82" s="1"/>
  <c r="AO82"/>
  <c r="AA82" s="1"/>
  <c r="AP82"/>
  <c r="AB82" s="1"/>
  <c r="AQ82"/>
  <c r="AC82" s="1"/>
  <c r="AR82"/>
  <c r="AD82" s="1"/>
  <c r="AS82"/>
  <c r="AE82" s="1"/>
  <c r="AT82"/>
  <c r="AF82" s="1"/>
  <c r="AU82"/>
  <c r="AG82" s="1"/>
  <c r="AV82"/>
  <c r="AH82" s="1"/>
  <c r="AW82"/>
  <c r="AI82" s="1"/>
  <c r="AX82"/>
  <c r="AJ82" s="1"/>
  <c r="AY82"/>
  <c r="AK82" s="1"/>
  <c r="AN83"/>
  <c r="Z83" s="1"/>
  <c r="AO83"/>
  <c r="AA83" s="1"/>
  <c r="AL83" s="1"/>
  <c r="AP83"/>
  <c r="AB83" s="1"/>
  <c r="AQ83"/>
  <c r="AC83" s="1"/>
  <c r="AR83"/>
  <c r="AD83" s="1"/>
  <c r="AS83"/>
  <c r="AE83" s="1"/>
  <c r="AT83"/>
  <c r="AF83" s="1"/>
  <c r="AU83"/>
  <c r="AG83" s="1"/>
  <c r="AV83"/>
  <c r="AH83" s="1"/>
  <c r="AW83"/>
  <c r="AI83" s="1"/>
  <c r="AX83"/>
  <c r="AJ83" s="1"/>
  <c r="AY83"/>
  <c r="AK83" s="1"/>
  <c r="AN84"/>
  <c r="Z84" s="1"/>
  <c r="AO84"/>
  <c r="AA84" s="1"/>
  <c r="AL84" s="1"/>
  <c r="AP84"/>
  <c r="AB84" s="1"/>
  <c r="AQ84"/>
  <c r="AC84" s="1"/>
  <c r="AR84"/>
  <c r="AD84" s="1"/>
  <c r="AS84"/>
  <c r="AE84" s="1"/>
  <c r="AT84"/>
  <c r="AF84" s="1"/>
  <c r="AU84"/>
  <c r="AG84" s="1"/>
  <c r="AV84"/>
  <c r="AH84" s="1"/>
  <c r="AW84"/>
  <c r="AI84" s="1"/>
  <c r="AX84"/>
  <c r="AJ84" s="1"/>
  <c r="AY84"/>
  <c r="AK84" s="1"/>
  <c r="AN85"/>
  <c r="Z85" s="1"/>
  <c r="AO85"/>
  <c r="AA85" s="1"/>
  <c r="AL85" s="1"/>
  <c r="AP85"/>
  <c r="AB85" s="1"/>
  <c r="AQ85"/>
  <c r="AR85"/>
  <c r="AD85" s="1"/>
  <c r="AS85"/>
  <c r="AE85" s="1"/>
  <c r="AT85"/>
  <c r="AF85" s="1"/>
  <c r="AU85"/>
  <c r="AG85" s="1"/>
  <c r="AV85"/>
  <c r="AH85" s="1"/>
  <c r="AW85"/>
  <c r="AI85" s="1"/>
  <c r="AX85"/>
  <c r="AJ85" s="1"/>
  <c r="AY85"/>
  <c r="AK85" s="1"/>
  <c r="AN86"/>
  <c r="Z86" s="1"/>
  <c r="AO86"/>
  <c r="AA86" s="1"/>
  <c r="AP86"/>
  <c r="AB86" s="1"/>
  <c r="AQ86"/>
  <c r="AC86" s="1"/>
  <c r="AR86"/>
  <c r="AD86" s="1"/>
  <c r="AS86"/>
  <c r="AE86" s="1"/>
  <c r="AT86"/>
  <c r="AF86" s="1"/>
  <c r="AU86"/>
  <c r="AG86" s="1"/>
  <c r="AV86"/>
  <c r="AH86" s="1"/>
  <c r="AW86"/>
  <c r="AI86" s="1"/>
  <c r="AX86"/>
  <c r="AJ86" s="1"/>
  <c r="AY86"/>
  <c r="AK86" s="1"/>
  <c r="AN87"/>
  <c r="Z87" s="1"/>
  <c r="AO87"/>
  <c r="AA87" s="1"/>
  <c r="AL87" s="1"/>
  <c r="AP87"/>
  <c r="AB87" s="1"/>
  <c r="AQ87"/>
  <c r="AC87" s="1"/>
  <c r="AR87"/>
  <c r="AD87" s="1"/>
  <c r="AS87"/>
  <c r="AE87" s="1"/>
  <c r="AT87"/>
  <c r="AF87" s="1"/>
  <c r="AU87"/>
  <c r="AG87" s="1"/>
  <c r="AV87"/>
  <c r="AH87" s="1"/>
  <c r="AW87"/>
  <c r="AI87" s="1"/>
  <c r="AX87"/>
  <c r="AJ87" s="1"/>
  <c r="AY87"/>
  <c r="AK87" s="1"/>
  <c r="AN88"/>
  <c r="Z88" s="1"/>
  <c r="AO88"/>
  <c r="AA88" s="1"/>
  <c r="AL88" s="1"/>
  <c r="AP88"/>
  <c r="AB88" s="1"/>
  <c r="AQ88"/>
  <c r="AC88" s="1"/>
  <c r="AR88"/>
  <c r="AD88" s="1"/>
  <c r="AS88"/>
  <c r="AE88" s="1"/>
  <c r="AT88"/>
  <c r="AF88" s="1"/>
  <c r="AU88"/>
  <c r="AG88" s="1"/>
  <c r="AV88"/>
  <c r="AH88" s="1"/>
  <c r="AW88"/>
  <c r="AI88" s="1"/>
  <c r="AX88"/>
  <c r="AJ88" s="1"/>
  <c r="AY88"/>
  <c r="AK88" s="1"/>
  <c r="AN89"/>
  <c r="Z89" s="1"/>
  <c r="AO89"/>
  <c r="AA89" s="1"/>
  <c r="AL89" s="1"/>
  <c r="AP89"/>
  <c r="AB89" s="1"/>
  <c r="AQ89"/>
  <c r="AC89" s="1"/>
  <c r="AR89"/>
  <c r="AD89" s="1"/>
  <c r="AS89"/>
  <c r="AE89" s="1"/>
  <c r="AT89"/>
  <c r="AF89" s="1"/>
  <c r="AU89"/>
  <c r="AG89" s="1"/>
  <c r="AV89"/>
  <c r="AH89" s="1"/>
  <c r="AW89"/>
  <c r="AI89" s="1"/>
  <c r="AX89"/>
  <c r="AJ89" s="1"/>
  <c r="AY89"/>
  <c r="AK89" s="1"/>
  <c r="AN90"/>
  <c r="Z90" s="1"/>
  <c r="AO90"/>
  <c r="AA90" s="1"/>
  <c r="AP90"/>
  <c r="AB90" s="1"/>
  <c r="AQ90"/>
  <c r="AC90" s="1"/>
  <c r="AR90"/>
  <c r="AD90" s="1"/>
  <c r="AS90"/>
  <c r="AE90" s="1"/>
  <c r="AT90"/>
  <c r="AF90" s="1"/>
  <c r="AU90"/>
  <c r="AG90" s="1"/>
  <c r="AV90"/>
  <c r="AH90" s="1"/>
  <c r="AW90"/>
  <c r="AI90" s="1"/>
  <c r="AX90"/>
  <c r="AJ90" s="1"/>
  <c r="AY90"/>
  <c r="AK90" s="1"/>
  <c r="AN91"/>
  <c r="Z91" s="1"/>
  <c r="AO91"/>
  <c r="AA91" s="1"/>
  <c r="AP91"/>
  <c r="AB91" s="1"/>
  <c r="AQ91"/>
  <c r="AC91" s="1"/>
  <c r="AR91"/>
  <c r="AD91" s="1"/>
  <c r="AS91"/>
  <c r="AE91" s="1"/>
  <c r="AT91"/>
  <c r="AF91" s="1"/>
  <c r="AU91"/>
  <c r="AG91" s="1"/>
  <c r="AV91"/>
  <c r="AH91" s="1"/>
  <c r="AW91"/>
  <c r="AI91" s="1"/>
  <c r="AX91"/>
  <c r="AJ91" s="1"/>
  <c r="AY91"/>
  <c r="AK91" s="1"/>
  <c r="AN92"/>
  <c r="Z92" s="1"/>
  <c r="AO92"/>
  <c r="AA92" s="1"/>
  <c r="AL92" s="1"/>
  <c r="AP92"/>
  <c r="AB92" s="1"/>
  <c r="AQ92"/>
  <c r="AC92" s="1"/>
  <c r="AR92"/>
  <c r="AD92" s="1"/>
  <c r="AS92"/>
  <c r="AE92" s="1"/>
  <c r="AT92"/>
  <c r="AF92" s="1"/>
  <c r="AU92"/>
  <c r="AG92" s="1"/>
  <c r="AV92"/>
  <c r="AH92" s="1"/>
  <c r="AW92"/>
  <c r="AI92" s="1"/>
  <c r="AX92"/>
  <c r="AJ92" s="1"/>
  <c r="AY92"/>
  <c r="AK92" s="1"/>
  <c r="AN93"/>
  <c r="Z93" s="1"/>
  <c r="AO93"/>
  <c r="AA93" s="1"/>
  <c r="AL93" s="1"/>
  <c r="AP93"/>
  <c r="AB93" s="1"/>
  <c r="AQ93"/>
  <c r="AC93" s="1"/>
  <c r="AR93"/>
  <c r="AD93" s="1"/>
  <c r="AS93"/>
  <c r="AE93" s="1"/>
  <c r="AT93"/>
  <c r="AF93" s="1"/>
  <c r="AU93"/>
  <c r="AG93" s="1"/>
  <c r="AV93"/>
  <c r="AH93" s="1"/>
  <c r="AW93"/>
  <c r="AI93" s="1"/>
  <c r="AX93"/>
  <c r="AJ93" s="1"/>
  <c r="AY93"/>
  <c r="AK93" s="1"/>
  <c r="AN94"/>
  <c r="Z94" s="1"/>
  <c r="AO94"/>
  <c r="AA94" s="1"/>
  <c r="AP94"/>
  <c r="AB94" s="1"/>
  <c r="AQ94"/>
  <c r="AC94" s="1"/>
  <c r="AR94"/>
  <c r="AD94" s="1"/>
  <c r="AS94"/>
  <c r="AE94" s="1"/>
  <c r="AT94"/>
  <c r="AF94" s="1"/>
  <c r="AU94"/>
  <c r="AG94" s="1"/>
  <c r="AV94"/>
  <c r="AH94" s="1"/>
  <c r="AW94"/>
  <c r="AI94" s="1"/>
  <c r="AX94"/>
  <c r="AJ94" s="1"/>
  <c r="AY94"/>
  <c r="AK94" s="1"/>
  <c r="AN95"/>
  <c r="Z95" s="1"/>
  <c r="AO95"/>
  <c r="AA95" s="1"/>
  <c r="AP95"/>
  <c r="AB95" s="1"/>
  <c r="AQ95"/>
  <c r="AC95" s="1"/>
  <c r="AR95"/>
  <c r="AD95" s="1"/>
  <c r="AS95"/>
  <c r="AE95" s="1"/>
  <c r="AT95"/>
  <c r="AF95" s="1"/>
  <c r="AU95"/>
  <c r="AG95" s="1"/>
  <c r="AV95"/>
  <c r="AH95" s="1"/>
  <c r="AW95"/>
  <c r="AI95" s="1"/>
  <c r="AX95"/>
  <c r="AJ95" s="1"/>
  <c r="AY95"/>
  <c r="AK95" s="1"/>
  <c r="AN96"/>
  <c r="Z96" s="1"/>
  <c r="AO96"/>
  <c r="AA96" s="1"/>
  <c r="AP96"/>
  <c r="AB96" s="1"/>
  <c r="AQ96"/>
  <c r="AC96" s="1"/>
  <c r="AR96"/>
  <c r="AD96" s="1"/>
  <c r="AS96"/>
  <c r="AE96" s="1"/>
  <c r="AT96"/>
  <c r="AF96" s="1"/>
  <c r="AU96"/>
  <c r="AG96" s="1"/>
  <c r="AV96"/>
  <c r="AH96" s="1"/>
  <c r="AW96"/>
  <c r="AI96" s="1"/>
  <c r="AX96"/>
  <c r="AJ96" s="1"/>
  <c r="AY96"/>
  <c r="AK96" s="1"/>
  <c r="AN97"/>
  <c r="Z97" s="1"/>
  <c r="AO97"/>
  <c r="AA97" s="1"/>
  <c r="AP97"/>
  <c r="AB97" s="1"/>
  <c r="AQ97"/>
  <c r="AC97" s="1"/>
  <c r="AR97"/>
  <c r="AD97" s="1"/>
  <c r="AS97"/>
  <c r="AE97" s="1"/>
  <c r="AT97"/>
  <c r="AF97" s="1"/>
  <c r="AU97"/>
  <c r="AG97" s="1"/>
  <c r="AV97"/>
  <c r="AH97" s="1"/>
  <c r="AW97"/>
  <c r="AI97" s="1"/>
  <c r="AX97"/>
  <c r="AJ97" s="1"/>
  <c r="AY97"/>
  <c r="AK97" s="1"/>
  <c r="AN98"/>
  <c r="Z98" s="1"/>
  <c r="AO98"/>
  <c r="AA98" s="1"/>
  <c r="AP98"/>
  <c r="AB98" s="1"/>
  <c r="AQ98"/>
  <c r="AC98" s="1"/>
  <c r="AR98"/>
  <c r="AD98" s="1"/>
  <c r="AS98"/>
  <c r="AE98" s="1"/>
  <c r="AT98"/>
  <c r="AF98" s="1"/>
  <c r="AU98"/>
  <c r="AG98" s="1"/>
  <c r="AV98"/>
  <c r="AH98" s="1"/>
  <c r="AW98"/>
  <c r="AI98" s="1"/>
  <c r="AX98"/>
  <c r="AJ98" s="1"/>
  <c r="AY98"/>
  <c r="AK98" s="1"/>
  <c r="AN99"/>
  <c r="Z99" s="1"/>
  <c r="AO99"/>
  <c r="AA99" s="1"/>
  <c r="AP99"/>
  <c r="AB99" s="1"/>
  <c r="AQ99"/>
  <c r="AC99" s="1"/>
  <c r="AR99"/>
  <c r="AD99" s="1"/>
  <c r="AS99"/>
  <c r="AE99" s="1"/>
  <c r="AT99"/>
  <c r="AF99" s="1"/>
  <c r="AU99"/>
  <c r="AG99" s="1"/>
  <c r="AV99"/>
  <c r="AH99" s="1"/>
  <c r="AW99"/>
  <c r="AI99" s="1"/>
  <c r="AX99"/>
  <c r="AJ99" s="1"/>
  <c r="AY99"/>
  <c r="AK99" s="1"/>
  <c r="AN100"/>
  <c r="Z100" s="1"/>
  <c r="AO100"/>
  <c r="AA100" s="1"/>
  <c r="AP100"/>
  <c r="AB100" s="1"/>
  <c r="AQ100"/>
  <c r="AC100" s="1"/>
  <c r="AR100"/>
  <c r="AD100" s="1"/>
  <c r="AS100"/>
  <c r="AE100" s="1"/>
  <c r="AT100"/>
  <c r="AF100" s="1"/>
  <c r="AU100"/>
  <c r="AG100" s="1"/>
  <c r="AV100"/>
  <c r="AH100" s="1"/>
  <c r="AW100"/>
  <c r="AI100" s="1"/>
  <c r="AX100"/>
  <c r="AJ100" s="1"/>
  <c r="AY100"/>
  <c r="AK100" s="1"/>
  <c r="AN101"/>
  <c r="Z101" s="1"/>
  <c r="AO101"/>
  <c r="AA101" s="1"/>
  <c r="AP101"/>
  <c r="AB101" s="1"/>
  <c r="AQ101"/>
  <c r="AC101" s="1"/>
  <c r="AR101"/>
  <c r="AD101" s="1"/>
  <c r="AS101"/>
  <c r="AE101" s="1"/>
  <c r="AT101"/>
  <c r="AF101" s="1"/>
  <c r="AU101"/>
  <c r="AG101" s="1"/>
  <c r="AV101"/>
  <c r="AH101" s="1"/>
  <c r="AW101"/>
  <c r="AI101" s="1"/>
  <c r="AX101"/>
  <c r="AJ101" s="1"/>
  <c r="AY101"/>
  <c r="AK101" s="1"/>
  <c r="AN102"/>
  <c r="Z102" s="1"/>
  <c r="AO102"/>
  <c r="AA102" s="1"/>
  <c r="AP102"/>
  <c r="AB102" s="1"/>
  <c r="AQ102"/>
  <c r="AC102" s="1"/>
  <c r="AR102"/>
  <c r="AD102" s="1"/>
  <c r="AS102"/>
  <c r="AE102" s="1"/>
  <c r="AT102"/>
  <c r="AF102" s="1"/>
  <c r="AU102"/>
  <c r="AG102" s="1"/>
  <c r="AV102"/>
  <c r="AH102" s="1"/>
  <c r="AW102"/>
  <c r="AI102" s="1"/>
  <c r="AX102"/>
  <c r="AJ102" s="1"/>
  <c r="AY102"/>
  <c r="AK102" s="1"/>
  <c r="AN103"/>
  <c r="Z103" s="1"/>
  <c r="AO103"/>
  <c r="AA103" s="1"/>
  <c r="AP103"/>
  <c r="AB103" s="1"/>
  <c r="AQ103"/>
  <c r="AC103" s="1"/>
  <c r="AR103"/>
  <c r="AD103" s="1"/>
  <c r="AS103"/>
  <c r="AE103" s="1"/>
  <c r="AT103"/>
  <c r="AF103" s="1"/>
  <c r="AU103"/>
  <c r="AG103" s="1"/>
  <c r="AV103"/>
  <c r="AH103" s="1"/>
  <c r="AW103"/>
  <c r="AI103" s="1"/>
  <c r="AX103"/>
  <c r="AJ103" s="1"/>
  <c r="AY103"/>
  <c r="AK103" s="1"/>
  <c r="AN104"/>
  <c r="Z104" s="1"/>
  <c r="AO104"/>
  <c r="AA104" s="1"/>
  <c r="AP104"/>
  <c r="AB104" s="1"/>
  <c r="AQ104"/>
  <c r="AC104" s="1"/>
  <c r="AR104"/>
  <c r="AD104" s="1"/>
  <c r="AS104"/>
  <c r="AE104" s="1"/>
  <c r="AT104"/>
  <c r="AF104" s="1"/>
  <c r="AU104"/>
  <c r="AG104" s="1"/>
  <c r="AV104"/>
  <c r="AH104" s="1"/>
  <c r="AW104"/>
  <c r="AI104" s="1"/>
  <c r="AX104"/>
  <c r="AJ104" s="1"/>
  <c r="AY104"/>
  <c r="AK104" s="1"/>
  <c r="AN105"/>
  <c r="Z105" s="1"/>
  <c r="AO105"/>
  <c r="AA105" s="1"/>
  <c r="AP105"/>
  <c r="AB105" s="1"/>
  <c r="AQ105"/>
  <c r="AC105" s="1"/>
  <c r="AR105"/>
  <c r="AD105" s="1"/>
  <c r="AS105"/>
  <c r="AE105" s="1"/>
  <c r="AT105"/>
  <c r="AF105" s="1"/>
  <c r="AU105"/>
  <c r="AG105" s="1"/>
  <c r="AV105"/>
  <c r="AH105" s="1"/>
  <c r="AW105"/>
  <c r="AI105" s="1"/>
  <c r="AX105"/>
  <c r="AJ105" s="1"/>
  <c r="AY105"/>
  <c r="AK105" s="1"/>
  <c r="AN106"/>
  <c r="Z106" s="1"/>
  <c r="AO106"/>
  <c r="AA106" s="1"/>
  <c r="AP106"/>
  <c r="AB106" s="1"/>
  <c r="AQ106"/>
  <c r="AC106" s="1"/>
  <c r="AR106"/>
  <c r="AD106" s="1"/>
  <c r="AS106"/>
  <c r="AE106" s="1"/>
  <c r="AT106"/>
  <c r="AF106" s="1"/>
  <c r="AU106"/>
  <c r="AG106" s="1"/>
  <c r="AV106"/>
  <c r="AH106" s="1"/>
  <c r="AW106"/>
  <c r="AI106" s="1"/>
  <c r="AX106"/>
  <c r="AJ106" s="1"/>
  <c r="AY106"/>
  <c r="AK106" s="1"/>
  <c r="AN107"/>
  <c r="Z107" s="1"/>
  <c r="AO107"/>
  <c r="AA107" s="1"/>
  <c r="AP107"/>
  <c r="AB107" s="1"/>
  <c r="AQ107"/>
  <c r="AC107" s="1"/>
  <c r="AR107"/>
  <c r="AD107" s="1"/>
  <c r="AS107"/>
  <c r="AE107" s="1"/>
  <c r="AT107"/>
  <c r="AF107" s="1"/>
  <c r="AU107"/>
  <c r="AG107" s="1"/>
  <c r="AV107"/>
  <c r="AH107" s="1"/>
  <c r="AW107"/>
  <c r="AI107" s="1"/>
  <c r="AX107"/>
  <c r="AJ107" s="1"/>
  <c r="AY107"/>
  <c r="AK107" s="1"/>
  <c r="AN108"/>
  <c r="Z108" s="1"/>
  <c r="AO108"/>
  <c r="AP108"/>
  <c r="AQ108"/>
  <c r="AR108"/>
  <c r="AS108"/>
  <c r="AT108"/>
  <c r="AU108"/>
  <c r="AV108"/>
  <c r="AW108"/>
  <c r="AX108"/>
  <c r="AY108"/>
  <c r="AN109"/>
  <c r="Z109" s="1"/>
  <c r="AO109"/>
  <c r="AA109" s="1"/>
  <c r="AP109"/>
  <c r="AB109" s="1"/>
  <c r="AQ109"/>
  <c r="AC109" s="1"/>
  <c r="AR109"/>
  <c r="AD109" s="1"/>
  <c r="AS109"/>
  <c r="AE109" s="1"/>
  <c r="AT109"/>
  <c r="AF109" s="1"/>
  <c r="AU109"/>
  <c r="AG109" s="1"/>
  <c r="AV109"/>
  <c r="AH109" s="1"/>
  <c r="AW109"/>
  <c r="AI109" s="1"/>
  <c r="AX109"/>
  <c r="AJ109" s="1"/>
  <c r="AY109"/>
  <c r="AK109" s="1"/>
  <c r="AO70"/>
  <c r="AA70" s="1"/>
  <c r="AP70"/>
  <c r="AB70" s="1"/>
  <c r="AQ70"/>
  <c r="AC70" s="1"/>
  <c r="AR70"/>
  <c r="AD70" s="1"/>
  <c r="AS70"/>
  <c r="AE70" s="1"/>
  <c r="AT70"/>
  <c r="AF70" s="1"/>
  <c r="AU70"/>
  <c r="AG70" s="1"/>
  <c r="AV70"/>
  <c r="AH70" s="1"/>
  <c r="AW70"/>
  <c r="AI70" s="1"/>
  <c r="AX70"/>
  <c r="AJ70" s="1"/>
  <c r="AY70"/>
  <c r="AK70" s="1"/>
  <c r="AN70"/>
  <c r="Z70" s="1"/>
  <c r="AL67"/>
  <c r="AL68"/>
  <c r="AL69"/>
  <c r="AL74"/>
  <c r="AL78"/>
  <c r="AL82"/>
  <c r="AL86"/>
  <c r="AL91"/>
  <c r="AL51"/>
  <c r="AL55"/>
  <c r="AL59"/>
  <c r="AL47"/>
  <c r="AA46"/>
  <c r="AA62" s="1"/>
  <c r="AB46"/>
  <c r="AC46"/>
  <c r="AC62" s="1"/>
  <c r="AD46"/>
  <c r="AE46"/>
  <c r="AE62" s="1"/>
  <c r="AF46"/>
  <c r="AG46"/>
  <c r="AH46"/>
  <c r="AI46"/>
  <c r="AI62" s="1"/>
  <c r="AJ46"/>
  <c r="AK46"/>
  <c r="Z46"/>
  <c r="AL66"/>
  <c r="V169"/>
  <c r="U169"/>
  <c r="T164"/>
  <c r="S164"/>
  <c r="R164"/>
  <c r="Q164"/>
  <c r="P164"/>
  <c r="O164"/>
  <c r="N164"/>
  <c r="D164"/>
  <c r="C164"/>
  <c r="V163"/>
  <c r="V164" s="1"/>
  <c r="U163"/>
  <c r="U164" s="1"/>
  <c r="M163"/>
  <c r="M164" s="1"/>
  <c r="L163"/>
  <c r="L164" s="1"/>
  <c r="K163"/>
  <c r="K164" s="1"/>
  <c r="J163"/>
  <c r="J164" s="1"/>
  <c r="I163"/>
  <c r="I164" s="1"/>
  <c r="H163"/>
  <c r="H164" s="1"/>
  <c r="W162"/>
  <c r="V157"/>
  <c r="V158" s="1"/>
  <c r="T157"/>
  <c r="T158" s="1"/>
  <c r="S157"/>
  <c r="Q157"/>
  <c r="P157"/>
  <c r="P158" s="1"/>
  <c r="O157"/>
  <c r="N157"/>
  <c r="N158" s="1"/>
  <c r="M157"/>
  <c r="L157"/>
  <c r="L158" s="1"/>
  <c r="K157"/>
  <c r="J157"/>
  <c r="J158" s="1"/>
  <c r="I157"/>
  <c r="H157"/>
  <c r="H158" s="1"/>
  <c r="G157"/>
  <c r="C157"/>
  <c r="U156"/>
  <c r="W156" s="1"/>
  <c r="U155"/>
  <c r="W155" s="1"/>
  <c r="U154"/>
  <c r="W154" s="1"/>
  <c r="U153"/>
  <c r="W153" s="1"/>
  <c r="U152"/>
  <c r="W152" s="1"/>
  <c r="U151"/>
  <c r="W151" s="1"/>
  <c r="U150"/>
  <c r="W150" s="1"/>
  <c r="U149"/>
  <c r="W149" s="1"/>
  <c r="U148"/>
  <c r="W148" s="1"/>
  <c r="U147"/>
  <c r="W147" s="1"/>
  <c r="U146"/>
  <c r="W146" s="1"/>
  <c r="U145"/>
  <c r="W145" s="1"/>
  <c r="U144"/>
  <c r="W144" s="1"/>
  <c r="U143"/>
  <c r="W143" s="1"/>
  <c r="R142"/>
  <c r="R157" s="1"/>
  <c r="D142"/>
  <c r="D157" s="1"/>
  <c r="U141"/>
  <c r="W141" s="1"/>
  <c r="U140"/>
  <c r="W140" s="1"/>
  <c r="U139"/>
  <c r="W139" s="1"/>
  <c r="U138"/>
  <c r="W138" s="1"/>
  <c r="U137"/>
  <c r="W137" s="1"/>
  <c r="U136"/>
  <c r="W136" s="1"/>
  <c r="U135"/>
  <c r="W135" s="1"/>
  <c r="U134"/>
  <c r="W134" s="1"/>
  <c r="U133"/>
  <c r="W133" s="1"/>
  <c r="U132"/>
  <c r="W132" s="1"/>
  <c r="U131"/>
  <c r="W131" s="1"/>
  <c r="U130"/>
  <c r="W130" s="1"/>
  <c r="U129"/>
  <c r="W129" s="1"/>
  <c r="U128"/>
  <c r="W128" s="1"/>
  <c r="U127"/>
  <c r="C124"/>
  <c r="V121"/>
  <c r="T121"/>
  <c r="Q121"/>
  <c r="P121"/>
  <c r="N121"/>
  <c r="L121"/>
  <c r="D121"/>
  <c r="H120"/>
  <c r="H121" s="1"/>
  <c r="U119"/>
  <c r="W119" s="1"/>
  <c r="R118"/>
  <c r="R121" s="1"/>
  <c r="O118"/>
  <c r="M118"/>
  <c r="M121" s="1"/>
  <c r="K118"/>
  <c r="K121" s="1"/>
  <c r="J118"/>
  <c r="I118"/>
  <c r="U117"/>
  <c r="W117" s="1"/>
  <c r="U116"/>
  <c r="W116" s="1"/>
  <c r="O115"/>
  <c r="O121" s="1"/>
  <c r="J115"/>
  <c r="I115"/>
  <c r="U114"/>
  <c r="W114" s="1"/>
  <c r="S113"/>
  <c r="U113" s="1"/>
  <c r="V110"/>
  <c r="T110"/>
  <c r="S110"/>
  <c r="Q110"/>
  <c r="O110"/>
  <c r="M110"/>
  <c r="K110"/>
  <c r="I110"/>
  <c r="U109"/>
  <c r="W109" s="1"/>
  <c r="U108"/>
  <c r="W108" s="1"/>
  <c r="D108"/>
  <c r="D110" s="1"/>
  <c r="C108"/>
  <c r="C110" s="1"/>
  <c r="U107"/>
  <c r="W107" s="1"/>
  <c r="U106"/>
  <c r="W106" s="1"/>
  <c r="U105"/>
  <c r="W105" s="1"/>
  <c r="U104"/>
  <c r="W104" s="1"/>
  <c r="U103"/>
  <c r="W103" s="1"/>
  <c r="U102"/>
  <c r="W102" s="1"/>
  <c r="U101"/>
  <c r="W101" s="1"/>
  <c r="U100"/>
  <c r="W100" s="1"/>
  <c r="U99"/>
  <c r="W99" s="1"/>
  <c r="U98"/>
  <c r="W98" s="1"/>
  <c r="U97"/>
  <c r="W97" s="1"/>
  <c r="U96"/>
  <c r="W96" s="1"/>
  <c r="U95"/>
  <c r="W95" s="1"/>
  <c r="U94"/>
  <c r="W94" s="1"/>
  <c r="U93"/>
  <c r="W93" s="1"/>
  <c r="U92"/>
  <c r="W92" s="1"/>
  <c r="U91"/>
  <c r="W91" s="1"/>
  <c r="U90"/>
  <c r="W90" s="1"/>
  <c r="U89"/>
  <c r="W89" s="1"/>
  <c r="U88"/>
  <c r="W88" s="1"/>
  <c r="U87"/>
  <c r="W87" s="1"/>
  <c r="U86"/>
  <c r="W86" s="1"/>
  <c r="U85"/>
  <c r="W85" s="1"/>
  <c r="U84"/>
  <c r="W84" s="1"/>
  <c r="U83"/>
  <c r="W83" s="1"/>
  <c r="U82"/>
  <c r="W82" s="1"/>
  <c r="U81"/>
  <c r="W81" s="1"/>
  <c r="U80"/>
  <c r="W80" s="1"/>
  <c r="U79"/>
  <c r="W79" s="1"/>
  <c r="U78"/>
  <c r="W78" s="1"/>
  <c r="U77"/>
  <c r="W77" s="1"/>
  <c r="U76"/>
  <c r="W76" s="1"/>
  <c r="U75"/>
  <c r="W75" s="1"/>
  <c r="U74"/>
  <c r="W74" s="1"/>
  <c r="U73"/>
  <c r="W73" s="1"/>
  <c r="R72"/>
  <c r="P72"/>
  <c r="N72"/>
  <c r="L72"/>
  <c r="J72"/>
  <c r="H72"/>
  <c r="U71"/>
  <c r="W71" s="1"/>
  <c r="U70"/>
  <c r="W70" s="1"/>
  <c r="U69"/>
  <c r="W69" s="1"/>
  <c r="U68"/>
  <c r="W68" s="1"/>
  <c r="U67"/>
  <c r="W67" s="1"/>
  <c r="U66"/>
  <c r="V62"/>
  <c r="T62"/>
  <c r="S62"/>
  <c r="Q62"/>
  <c r="O62"/>
  <c r="O122" s="1"/>
  <c r="M62"/>
  <c r="M122" s="1"/>
  <c r="K62"/>
  <c r="I62"/>
  <c r="D62"/>
  <c r="U61"/>
  <c r="W61" s="1"/>
  <c r="U60"/>
  <c r="W60" s="1"/>
  <c r="U59"/>
  <c r="W59" s="1"/>
  <c r="U58"/>
  <c r="W58" s="1"/>
  <c r="U57"/>
  <c r="W57" s="1"/>
  <c r="U56"/>
  <c r="W56" s="1"/>
  <c r="U55"/>
  <c r="W55" s="1"/>
  <c r="U54"/>
  <c r="W54" s="1"/>
  <c r="U53"/>
  <c r="W53" s="1"/>
  <c r="U52"/>
  <c r="W52" s="1"/>
  <c r="U51"/>
  <c r="W51" s="1"/>
  <c r="R50"/>
  <c r="P50"/>
  <c r="N50"/>
  <c r="L50"/>
  <c r="J50"/>
  <c r="H50"/>
  <c r="U49"/>
  <c r="W49" s="1"/>
  <c r="U48"/>
  <c r="W48" s="1"/>
  <c r="U47"/>
  <c r="W47" s="1"/>
  <c r="U46"/>
  <c r="W46" s="1"/>
  <c r="V42"/>
  <c r="P42"/>
  <c r="I42"/>
  <c r="D42"/>
  <c r="U41"/>
  <c r="W41" s="1"/>
  <c r="S40"/>
  <c r="R40"/>
  <c r="R42" s="1"/>
  <c r="Q40"/>
  <c r="O40"/>
  <c r="O42" s="1"/>
  <c r="N40"/>
  <c r="N42" s="1"/>
  <c r="M40"/>
  <c r="L40"/>
  <c r="K40"/>
  <c r="K42" s="1"/>
  <c r="T39"/>
  <c r="V38"/>
  <c r="T38"/>
  <c r="R38"/>
  <c r="P38"/>
  <c r="O38"/>
  <c r="N38"/>
  <c r="K38"/>
  <c r="I38"/>
  <c r="H38"/>
  <c r="D38"/>
  <c r="S37"/>
  <c r="Q37"/>
  <c r="M37"/>
  <c r="L37"/>
  <c r="J37"/>
  <c r="C37"/>
  <c r="C38" s="1"/>
  <c r="U36"/>
  <c r="W36" s="1"/>
  <c r="U35"/>
  <c r="W35" s="1"/>
  <c r="U34"/>
  <c r="W34" s="1"/>
  <c r="U33"/>
  <c r="W33" s="1"/>
  <c r="U32"/>
  <c r="W32" s="1"/>
  <c r="M32"/>
  <c r="U31"/>
  <c r="W31" s="1"/>
  <c r="U30"/>
  <c r="J29"/>
  <c r="U28"/>
  <c r="W28" s="1"/>
  <c r="U27"/>
  <c r="W27" s="1"/>
  <c r="M26"/>
  <c r="U25"/>
  <c r="U24"/>
  <c r="U23"/>
  <c r="U22"/>
  <c r="U21"/>
  <c r="H20"/>
  <c r="H42" s="1"/>
  <c r="U19"/>
  <c r="U18"/>
  <c r="U17"/>
  <c r="U16"/>
  <c r="U15"/>
  <c r="U14"/>
  <c r="U13"/>
  <c r="J40" i="21"/>
  <c r="I36"/>
  <c r="H36"/>
  <c r="G36"/>
  <c r="J34"/>
  <c r="J32"/>
  <c r="J30"/>
  <c r="I28"/>
  <c r="D28"/>
  <c r="I26"/>
  <c r="G26"/>
  <c r="D26"/>
  <c r="C25"/>
  <c r="C26" s="1"/>
  <c r="J24"/>
  <c r="J23"/>
  <c r="J22"/>
  <c r="W21"/>
  <c r="V21"/>
  <c r="U21"/>
  <c r="T21"/>
  <c r="S21"/>
  <c r="R21"/>
  <c r="Q21"/>
  <c r="P21"/>
  <c r="O21"/>
  <c r="N21"/>
  <c r="M21"/>
  <c r="L21"/>
  <c r="J21"/>
  <c r="W20"/>
  <c r="V20"/>
  <c r="U20"/>
  <c r="T20"/>
  <c r="S20"/>
  <c r="R20"/>
  <c r="Q20"/>
  <c r="P20"/>
  <c r="O20"/>
  <c r="N20"/>
  <c r="M20"/>
  <c r="L20"/>
  <c r="J20"/>
  <c r="W19"/>
  <c r="V19"/>
  <c r="U19"/>
  <c r="T19"/>
  <c r="S19"/>
  <c r="R19"/>
  <c r="Q19"/>
  <c r="P19"/>
  <c r="O19"/>
  <c r="N19"/>
  <c r="M19"/>
  <c r="L19"/>
  <c r="J19"/>
  <c r="W17"/>
  <c r="V17"/>
  <c r="U17"/>
  <c r="T17"/>
  <c r="S17"/>
  <c r="R17"/>
  <c r="Q17"/>
  <c r="P17"/>
  <c r="O17"/>
  <c r="N17"/>
  <c r="M17"/>
  <c r="L17"/>
  <c r="J16"/>
  <c r="J15"/>
  <c r="G28"/>
  <c r="G38" s="1"/>
  <c r="G42" s="1"/>
  <c r="J14"/>
  <c r="D122" i="22" l="1"/>
  <c r="V122"/>
  <c r="AG62"/>
  <c r="J36" i="21"/>
  <c r="V28"/>
  <c r="I38"/>
  <c r="I42" s="1"/>
  <c r="K122" i="22"/>
  <c r="K124" s="1"/>
  <c r="Q28" i="21"/>
  <c r="AL90" i="22"/>
  <c r="U37"/>
  <c r="W37" s="1"/>
  <c r="S42"/>
  <c r="O124"/>
  <c r="V124"/>
  <c r="I121"/>
  <c r="I122" s="1"/>
  <c r="I124" s="1"/>
  <c r="AL154"/>
  <c r="AL143"/>
  <c r="AL142"/>
  <c r="AZ159"/>
  <c r="Q122"/>
  <c r="D124"/>
  <c r="T122"/>
  <c r="U142"/>
  <c r="W142" s="1"/>
  <c r="J42"/>
  <c r="L42"/>
  <c r="Q42"/>
  <c r="T42"/>
  <c r="T124" s="1"/>
  <c r="J121"/>
  <c r="U118"/>
  <c r="W118" s="1"/>
  <c r="W164"/>
  <c r="AL46"/>
  <c r="AJ157"/>
  <c r="AH157"/>
  <c r="AH158" s="1"/>
  <c r="AH108" s="1"/>
  <c r="AF157"/>
  <c r="AD157"/>
  <c r="AB157"/>
  <c r="AK157"/>
  <c r="AK158" s="1"/>
  <c r="AK159" s="1"/>
  <c r="AK165" s="1"/>
  <c r="AI157"/>
  <c r="AG157"/>
  <c r="AG158" s="1"/>
  <c r="AG159" s="1"/>
  <c r="AG165" s="1"/>
  <c r="AE157"/>
  <c r="AC157"/>
  <c r="AC158" s="1"/>
  <c r="AC159" s="1"/>
  <c r="AC165" s="1"/>
  <c r="AA157"/>
  <c r="AL70"/>
  <c r="AL109"/>
  <c r="AL107"/>
  <c r="AL106"/>
  <c r="AL105"/>
  <c r="AL104"/>
  <c r="AL103"/>
  <c r="AL102"/>
  <c r="AL101"/>
  <c r="AL100"/>
  <c r="AL99"/>
  <c r="AL98"/>
  <c r="AL97"/>
  <c r="AL96"/>
  <c r="AL95"/>
  <c r="AL94"/>
  <c r="W17"/>
  <c r="W19"/>
  <c r="W23"/>
  <c r="W14"/>
  <c r="W16"/>
  <c r="W18"/>
  <c r="W24"/>
  <c r="H62"/>
  <c r="AN50"/>
  <c r="Z50" s="1"/>
  <c r="L62"/>
  <c r="AR50"/>
  <c r="AD50" s="1"/>
  <c r="AD62" s="1"/>
  <c r="P62"/>
  <c r="AV50"/>
  <c r="AH50" s="1"/>
  <c r="AH62" s="1"/>
  <c r="AJ158"/>
  <c r="AJ108" s="1"/>
  <c r="AF158"/>
  <c r="AF108" s="1"/>
  <c r="AD158"/>
  <c r="AD108" s="1"/>
  <c r="AB158"/>
  <c r="AB108" s="1"/>
  <c r="U20"/>
  <c r="W21"/>
  <c r="W22"/>
  <c r="M42"/>
  <c r="M124" s="1"/>
  <c r="U29"/>
  <c r="U38" s="1"/>
  <c r="W38" s="1"/>
  <c r="M38"/>
  <c r="U39"/>
  <c r="W39" s="1"/>
  <c r="U157"/>
  <c r="AK48"/>
  <c r="AL48" s="1"/>
  <c r="AL157"/>
  <c r="W15"/>
  <c r="W25"/>
  <c r="J62"/>
  <c r="AP50"/>
  <c r="AB50" s="1"/>
  <c r="AB62" s="1"/>
  <c r="N62"/>
  <c r="AT50"/>
  <c r="AF50" s="1"/>
  <c r="AF62" s="1"/>
  <c r="R62"/>
  <c r="AX50"/>
  <c r="AJ50" s="1"/>
  <c r="AJ62" s="1"/>
  <c r="AI158"/>
  <c r="AI159" s="1"/>
  <c r="AI165" s="1"/>
  <c r="AE158"/>
  <c r="AE159" s="1"/>
  <c r="AE165" s="1"/>
  <c r="AA158"/>
  <c r="AA159" s="1"/>
  <c r="AA165" s="1"/>
  <c r="AX72"/>
  <c r="AJ72" s="1"/>
  <c r="AV72"/>
  <c r="AH72" s="1"/>
  <c r="AT72"/>
  <c r="AF72" s="1"/>
  <c r="AR72"/>
  <c r="AD72" s="1"/>
  <c r="AP72"/>
  <c r="AB72" s="1"/>
  <c r="AN72"/>
  <c r="Z72" s="1"/>
  <c r="Z157"/>
  <c r="Z158" s="1"/>
  <c r="W113"/>
  <c r="D158"/>
  <c r="D159" s="1"/>
  <c r="D165" s="1"/>
  <c r="U158"/>
  <c r="W158" s="1"/>
  <c r="R158"/>
  <c r="R159" s="1"/>
  <c r="R165" s="1"/>
  <c r="W13"/>
  <c r="U26"/>
  <c r="W26" s="1"/>
  <c r="W29"/>
  <c r="J38"/>
  <c r="L38"/>
  <c r="U40"/>
  <c r="W40" s="1"/>
  <c r="H110"/>
  <c r="H122" s="1"/>
  <c r="H124" s="1"/>
  <c r="J110"/>
  <c r="L110"/>
  <c r="L122" s="1"/>
  <c r="L124" s="1"/>
  <c r="N110"/>
  <c r="N122" s="1"/>
  <c r="N124" s="1"/>
  <c r="P110"/>
  <c r="P122" s="1"/>
  <c r="P124" s="1"/>
  <c r="R110"/>
  <c r="R122" s="1"/>
  <c r="R124" s="1"/>
  <c r="U115"/>
  <c r="W115" s="1"/>
  <c r="S121"/>
  <c r="S122" s="1"/>
  <c r="S124" s="1"/>
  <c r="C158"/>
  <c r="C159" s="1"/>
  <c r="C165" s="1"/>
  <c r="C167" s="1"/>
  <c r="I158"/>
  <c r="I159" s="1"/>
  <c r="I165" s="1"/>
  <c r="K158"/>
  <c r="K159" s="1"/>
  <c r="K165" s="1"/>
  <c r="M158"/>
  <c r="M159" s="1"/>
  <c r="M165" s="1"/>
  <c r="M167" s="1"/>
  <c r="O158"/>
  <c r="O159" s="1"/>
  <c r="O165" s="1"/>
  <c r="O167" s="1"/>
  <c r="Q158"/>
  <c r="Q159" s="1"/>
  <c r="Q165" s="1"/>
  <c r="S158"/>
  <c r="S159" s="1"/>
  <c r="S165" s="1"/>
  <c r="H159"/>
  <c r="H165" s="1"/>
  <c r="J159"/>
  <c r="J165" s="1"/>
  <c r="L159"/>
  <c r="L165" s="1"/>
  <c r="N159"/>
  <c r="N165" s="1"/>
  <c r="P159"/>
  <c r="P165" s="1"/>
  <c r="T159"/>
  <c r="T165" s="1"/>
  <c r="T167" s="1"/>
  <c r="V159"/>
  <c r="V165" s="1"/>
  <c r="V167" s="1"/>
  <c r="M161"/>
  <c r="W163"/>
  <c r="Q38"/>
  <c r="S38"/>
  <c r="U50"/>
  <c r="W50" s="1"/>
  <c r="W62" s="1"/>
  <c r="W66"/>
  <c r="U72"/>
  <c r="W72" s="1"/>
  <c r="U120"/>
  <c r="W120" s="1"/>
  <c r="W127"/>
  <c r="W157" s="1"/>
  <c r="M28" i="21"/>
  <c r="O28"/>
  <c r="L28"/>
  <c r="N28"/>
  <c r="P28"/>
  <c r="R28"/>
  <c r="T28"/>
  <c r="V26"/>
  <c r="J17"/>
  <c r="Q26"/>
  <c r="S28"/>
  <c r="U28"/>
  <c r="W28"/>
  <c r="J12"/>
  <c r="J25"/>
  <c r="M26"/>
  <c r="O26"/>
  <c r="S26"/>
  <c r="U26"/>
  <c r="W26"/>
  <c r="L26"/>
  <c r="N26"/>
  <c r="P26"/>
  <c r="R26"/>
  <c r="T26"/>
  <c r="K167" i="22" l="1"/>
  <c r="AD159"/>
  <c r="AD165" s="1"/>
  <c r="D167"/>
  <c r="AH159"/>
  <c r="AH165" s="1"/>
  <c r="I167"/>
  <c r="J122"/>
  <c r="J124" s="1"/>
  <c r="AB159"/>
  <c r="AB165" s="1"/>
  <c r="AF159"/>
  <c r="AF165" s="1"/>
  <c r="AJ159"/>
  <c r="AJ165" s="1"/>
  <c r="Q124"/>
  <c r="Q167" s="1"/>
  <c r="W159"/>
  <c r="W165" s="1"/>
  <c r="AB110"/>
  <c r="AF110"/>
  <c r="AJ110"/>
  <c r="AC108"/>
  <c r="AC110" s="1"/>
  <c r="AC122" s="1"/>
  <c r="AC124" s="1"/>
  <c r="AC167" s="1"/>
  <c r="AG108"/>
  <c r="AG110" s="1"/>
  <c r="AG122" s="1"/>
  <c r="AG124" s="1"/>
  <c r="AG167" s="1"/>
  <c r="AK108"/>
  <c r="AK110" s="1"/>
  <c r="Z159"/>
  <c r="Z165" s="1"/>
  <c r="AD110"/>
  <c r="AD122" s="1"/>
  <c r="AD124" s="1"/>
  <c r="AD167" s="1"/>
  <c r="AH110"/>
  <c r="AA108"/>
  <c r="AE108"/>
  <c r="AE110" s="1"/>
  <c r="AE122" s="1"/>
  <c r="AE124" s="1"/>
  <c r="AE167" s="1"/>
  <c r="AI108"/>
  <c r="AI110" s="1"/>
  <c r="AI122" s="1"/>
  <c r="AI124" s="1"/>
  <c r="AI167" s="1"/>
  <c r="AL72"/>
  <c r="Z110"/>
  <c r="AL50"/>
  <c r="AL62" s="1"/>
  <c r="Z62"/>
  <c r="AB122"/>
  <c r="AB124" s="1"/>
  <c r="AB167" s="1"/>
  <c r="AJ122"/>
  <c r="AJ124" s="1"/>
  <c r="AF122"/>
  <c r="AF124" s="1"/>
  <c r="AF167" s="1"/>
  <c r="AH122"/>
  <c r="AH124" s="1"/>
  <c r="AL158"/>
  <c r="AL159" s="1"/>
  <c r="AL165" s="1"/>
  <c r="W20"/>
  <c r="R167"/>
  <c r="N167"/>
  <c r="J167"/>
  <c r="AK62"/>
  <c r="AK122" s="1"/>
  <c r="AK124" s="1"/>
  <c r="AK167" s="1"/>
  <c r="P167"/>
  <c r="L167"/>
  <c r="H167"/>
  <c r="S167"/>
  <c r="W42"/>
  <c r="U62"/>
  <c r="U42"/>
  <c r="U159"/>
  <c r="U165" s="1"/>
  <c r="U121"/>
  <c r="W121" s="1"/>
  <c r="W110"/>
  <c r="U110"/>
  <c r="J28" i="21"/>
  <c r="J38" s="1"/>
  <c r="J42" s="1"/>
  <c r="J26"/>
  <c r="H26"/>
  <c r="H28"/>
  <c r="H38" s="1"/>
  <c r="H42" s="1"/>
  <c r="AJ167" i="22" l="1"/>
  <c r="W122"/>
  <c r="W124" s="1"/>
  <c r="W167" s="1"/>
  <c r="AH167"/>
  <c r="AA110"/>
  <c r="AA122" s="1"/>
  <c r="AA124" s="1"/>
  <c r="AA167" s="1"/>
  <c r="AL108"/>
  <c r="AL110" s="1"/>
  <c r="U122"/>
  <c r="U124" s="1"/>
  <c r="U167" s="1"/>
  <c r="T161" i="13" l="1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24"/>
  <c r="Y112" l="1"/>
  <c r="Z112"/>
  <c r="AA112"/>
  <c r="AB112"/>
  <c r="AC112"/>
  <c r="AD112"/>
  <c r="AE112"/>
  <c r="AF112"/>
  <c r="AG112"/>
  <c r="AH112"/>
  <c r="AI112"/>
  <c r="X112"/>
  <c r="Y110"/>
  <c r="Z110"/>
  <c r="AA110"/>
  <c r="AB110"/>
  <c r="AC110"/>
  <c r="AD110"/>
  <c r="AE110"/>
  <c r="AF110"/>
  <c r="AG110"/>
  <c r="AH110"/>
  <c r="AI110"/>
  <c r="Y111"/>
  <c r="Z111"/>
  <c r="AA111"/>
  <c r="AB111"/>
  <c r="AC111"/>
  <c r="AD111"/>
  <c r="AE111"/>
  <c r="AF111"/>
  <c r="AG111"/>
  <c r="AH111"/>
  <c r="AI111"/>
  <c r="Y115"/>
  <c r="Z115"/>
  <c r="AA115"/>
  <c r="AB115"/>
  <c r="AC115"/>
  <c r="AD115"/>
  <c r="AE115"/>
  <c r="AF115"/>
  <c r="AG115"/>
  <c r="AH115"/>
  <c r="AI115"/>
  <c r="Y116"/>
  <c r="Z116"/>
  <c r="AA116"/>
  <c r="AB116"/>
  <c r="AC116"/>
  <c r="AD116"/>
  <c r="AE116"/>
  <c r="AF116"/>
  <c r="AG116"/>
  <c r="AH116"/>
  <c r="AI116"/>
  <c r="X116"/>
  <c r="AJ116" s="1"/>
  <c r="Y83"/>
  <c r="Z83"/>
  <c r="AA83"/>
  <c r="AB83"/>
  <c r="AC83"/>
  <c r="AD83"/>
  <c r="AE83"/>
  <c r="AF83"/>
  <c r="AG83"/>
  <c r="AH83"/>
  <c r="AI83"/>
  <c r="X83"/>
  <c r="Y101"/>
  <c r="Z101"/>
  <c r="AA101"/>
  <c r="AB101"/>
  <c r="AC101"/>
  <c r="AD101"/>
  <c r="AE101"/>
  <c r="AF101"/>
  <c r="AG101"/>
  <c r="AH101"/>
  <c r="AI101"/>
  <c r="X101"/>
  <c r="X115"/>
  <c r="X111"/>
  <c r="X110"/>
  <c r="Y34"/>
  <c r="Z34"/>
  <c r="AA34"/>
  <c r="AB34"/>
  <c r="AC34"/>
  <c r="AD34"/>
  <c r="AE34"/>
  <c r="AF34"/>
  <c r="AG34"/>
  <c r="AH34"/>
  <c r="AI34"/>
  <c r="X34"/>
  <c r="AI30"/>
  <c r="AH30"/>
  <c r="AG30"/>
  <c r="AF30"/>
  <c r="AE30"/>
  <c r="AD30"/>
  <c r="AC30"/>
  <c r="AB30"/>
  <c r="AA30"/>
  <c r="Z30"/>
  <c r="Y30"/>
  <c r="X30"/>
  <c r="AI29"/>
  <c r="AH29"/>
  <c r="AG29"/>
  <c r="AF29"/>
  <c r="AE29"/>
  <c r="AD29"/>
  <c r="AC29"/>
  <c r="AB29"/>
  <c r="AA29"/>
  <c r="Z29"/>
  <c r="Y29"/>
  <c r="X29"/>
  <c r="X28"/>
  <c r="Y28"/>
  <c r="AA28"/>
  <c r="AB28"/>
  <c r="AC28"/>
  <c r="AD28"/>
  <c r="AE28"/>
  <c r="AF28"/>
  <c r="AG28"/>
  <c r="AH28"/>
  <c r="AI28"/>
  <c r="Z28"/>
  <c r="AA27"/>
  <c r="AB27"/>
  <c r="AC27"/>
  <c r="AD27"/>
  <c r="AE27"/>
  <c r="AF27"/>
  <c r="AG27"/>
  <c r="AH27"/>
  <c r="AI27"/>
  <c r="Z27"/>
  <c r="Y27"/>
  <c r="X27"/>
  <c r="AC21"/>
  <c r="AH19"/>
  <c r="Y155" l="1"/>
  <c r="Z155"/>
  <c r="AA155"/>
  <c r="AB155"/>
  <c r="AC155"/>
  <c r="AD155"/>
  <c r="AE155"/>
  <c r="AF155"/>
  <c r="AG155"/>
  <c r="AH155"/>
  <c r="AI155"/>
  <c r="AJ155"/>
  <c r="Y156"/>
  <c r="Z156"/>
  <c r="AA156"/>
  <c r="AB156"/>
  <c r="AC156"/>
  <c r="AD156"/>
  <c r="AE156"/>
  <c r="AF156"/>
  <c r="AG156"/>
  <c r="AH156"/>
  <c r="AI156"/>
  <c r="AJ156"/>
  <c r="X155"/>
  <c r="X156" s="1"/>
  <c r="Y149"/>
  <c r="Z149"/>
  <c r="AA149"/>
  <c r="AB149"/>
  <c r="AC149"/>
  <c r="AD149"/>
  <c r="AE149"/>
  <c r="AF149"/>
  <c r="AG149"/>
  <c r="AH149"/>
  <c r="AI149"/>
  <c r="AJ149"/>
  <c r="Y150"/>
  <c r="Z150"/>
  <c r="AA150"/>
  <c r="AB150"/>
  <c r="AC150"/>
  <c r="AD150"/>
  <c r="AE150"/>
  <c r="AF150"/>
  <c r="AG150"/>
  <c r="AH150"/>
  <c r="AI150"/>
  <c r="AJ150"/>
  <c r="Y151"/>
  <c r="Y157" s="1"/>
  <c r="Z151"/>
  <c r="Z157" s="1"/>
  <c r="AA151"/>
  <c r="AA157" s="1"/>
  <c r="AB151"/>
  <c r="AB157" s="1"/>
  <c r="AC151"/>
  <c r="AC157" s="1"/>
  <c r="AD151"/>
  <c r="AD157" s="1"/>
  <c r="AE151"/>
  <c r="AE157" s="1"/>
  <c r="AF151"/>
  <c r="AF157" s="1"/>
  <c r="AG151"/>
  <c r="AG157" s="1"/>
  <c r="AH151"/>
  <c r="AH157" s="1"/>
  <c r="AI151"/>
  <c r="AI157" s="1"/>
  <c r="AJ151"/>
  <c r="AJ157" s="1"/>
  <c r="X149"/>
  <c r="X150" s="1"/>
  <c r="AJ111"/>
  <c r="AJ112"/>
  <c r="AJ113"/>
  <c r="AJ114"/>
  <c r="AJ115"/>
  <c r="AJ117"/>
  <c r="AJ110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6"/>
  <c r="AJ37"/>
  <c r="AJ38"/>
  <c r="AJ39"/>
  <c r="AJ40"/>
  <c r="AJ12"/>
  <c r="Y35"/>
  <c r="Z35"/>
  <c r="AA35"/>
  <c r="AB35"/>
  <c r="AC35"/>
  <c r="AD35"/>
  <c r="AE35"/>
  <c r="AF35"/>
  <c r="AG35"/>
  <c r="AH35"/>
  <c r="AI35"/>
  <c r="Y41"/>
  <c r="Z41"/>
  <c r="AA41"/>
  <c r="AB41"/>
  <c r="AC41"/>
  <c r="AD41"/>
  <c r="AE41"/>
  <c r="AF41"/>
  <c r="AG41"/>
  <c r="AH41"/>
  <c r="AI41"/>
  <c r="X41"/>
  <c r="X35"/>
  <c r="S35"/>
  <c r="S36"/>
  <c r="S37"/>
  <c r="S59"/>
  <c r="S107"/>
  <c r="S118"/>
  <c r="S149"/>
  <c r="S150" s="1"/>
  <c r="S151" s="1"/>
  <c r="S156"/>
  <c r="AJ118"/>
  <c r="AI118"/>
  <c r="AH118"/>
  <c r="AG118"/>
  <c r="AF118"/>
  <c r="AE118"/>
  <c r="AC118"/>
  <c r="AB118"/>
  <c r="AA118"/>
  <c r="Z118"/>
  <c r="Y118"/>
  <c r="X118"/>
  <c r="AD118"/>
  <c r="AL73"/>
  <c r="AM73" s="1"/>
  <c r="AI73" s="1"/>
  <c r="AL74"/>
  <c r="AM74" s="1"/>
  <c r="AI74" s="1"/>
  <c r="AL75"/>
  <c r="AM75" s="1"/>
  <c r="AI75" s="1"/>
  <c r="AL76"/>
  <c r="AM76" s="1"/>
  <c r="AI76" s="1"/>
  <c r="AL77"/>
  <c r="AM77" s="1"/>
  <c r="AI77" s="1"/>
  <c r="AL78"/>
  <c r="AM78" s="1"/>
  <c r="AI78" s="1"/>
  <c r="AL79"/>
  <c r="AM79" s="1"/>
  <c r="AI79" s="1"/>
  <c r="AL80"/>
  <c r="AM80" s="1"/>
  <c r="AI80" s="1"/>
  <c r="AL81"/>
  <c r="AM81" s="1"/>
  <c r="AI81" s="1"/>
  <c r="AL82"/>
  <c r="AM82" s="1"/>
  <c r="AI82" s="1"/>
  <c r="AL83"/>
  <c r="AM83" s="1"/>
  <c r="AL84"/>
  <c r="AM84" s="1"/>
  <c r="AI84" s="1"/>
  <c r="AL85"/>
  <c r="AM85" s="1"/>
  <c r="AI85" s="1"/>
  <c r="AL86"/>
  <c r="AM86" s="1"/>
  <c r="AI86" s="1"/>
  <c r="AL87"/>
  <c r="AM87" s="1"/>
  <c r="AI87" s="1"/>
  <c r="AL88"/>
  <c r="AM88" s="1"/>
  <c r="AI88" s="1"/>
  <c r="AL89"/>
  <c r="AM89" s="1"/>
  <c r="AI89" s="1"/>
  <c r="AL90"/>
  <c r="AM90" s="1"/>
  <c r="AI90" s="1"/>
  <c r="AL91"/>
  <c r="AM91" s="1"/>
  <c r="AI91" s="1"/>
  <c r="AL92"/>
  <c r="AM92" s="1"/>
  <c r="AI92" s="1"/>
  <c r="AL93"/>
  <c r="AM93" s="1"/>
  <c r="AI93" s="1"/>
  <c r="AL94"/>
  <c r="AM94" s="1"/>
  <c r="AI94" s="1"/>
  <c r="AL95"/>
  <c r="AM95" s="1"/>
  <c r="AI95" s="1"/>
  <c r="AL96"/>
  <c r="AM96" s="1"/>
  <c r="AI96" s="1"/>
  <c r="AL97"/>
  <c r="AM97" s="1"/>
  <c r="AI97" s="1"/>
  <c r="AL98"/>
  <c r="AM98" s="1"/>
  <c r="AI98" s="1"/>
  <c r="AL99"/>
  <c r="AM99" s="1"/>
  <c r="AI99" s="1"/>
  <c r="AL100"/>
  <c r="AM100" s="1"/>
  <c r="AI100" s="1"/>
  <c r="AL101"/>
  <c r="AM101" s="1"/>
  <c r="AL102"/>
  <c r="AM102" s="1"/>
  <c r="AI102" s="1"/>
  <c r="AL103"/>
  <c r="AM103" s="1"/>
  <c r="AI103" s="1"/>
  <c r="AL104"/>
  <c r="AM104" s="1"/>
  <c r="AI104" s="1"/>
  <c r="AL105"/>
  <c r="AM105" s="1"/>
  <c r="AI105" s="1"/>
  <c r="AL106"/>
  <c r="AM106" s="1"/>
  <c r="AI106" s="1"/>
  <c r="AL72"/>
  <c r="AM72" s="1"/>
  <c r="AI72"/>
  <c r="AJ47"/>
  <c r="AJ45"/>
  <c r="Y49"/>
  <c r="AA49"/>
  <c r="AC49"/>
  <c r="AE49"/>
  <c r="AG49"/>
  <c r="X50"/>
  <c r="Y50"/>
  <c r="Z50"/>
  <c r="AA50"/>
  <c r="AB50"/>
  <c r="AC50"/>
  <c r="AD50"/>
  <c r="AE50"/>
  <c r="AF50"/>
  <c r="AG50"/>
  <c r="AH50"/>
  <c r="AI50"/>
  <c r="X51"/>
  <c r="Y51"/>
  <c r="Z51"/>
  <c r="AA51"/>
  <c r="AB51"/>
  <c r="AC51"/>
  <c r="AD51"/>
  <c r="AE51"/>
  <c r="AF51"/>
  <c r="AG51"/>
  <c r="AH51"/>
  <c r="X52"/>
  <c r="Y52"/>
  <c r="Z52"/>
  <c r="AA52"/>
  <c r="AB52"/>
  <c r="AC52"/>
  <c r="AD52"/>
  <c r="AE52"/>
  <c r="AF52"/>
  <c r="AG52"/>
  <c r="AH52"/>
  <c r="AI52"/>
  <c r="X53"/>
  <c r="Y53"/>
  <c r="Z53"/>
  <c r="AA53"/>
  <c r="AB53"/>
  <c r="AC53"/>
  <c r="AD53"/>
  <c r="AE53"/>
  <c r="AF53"/>
  <c r="AG53"/>
  <c r="AH53"/>
  <c r="AI53"/>
  <c r="X54"/>
  <c r="Y54"/>
  <c r="Z54"/>
  <c r="AA54"/>
  <c r="AB54"/>
  <c r="AC54"/>
  <c r="AD54"/>
  <c r="AE54"/>
  <c r="AF54"/>
  <c r="AG54"/>
  <c r="AH54"/>
  <c r="AI54"/>
  <c r="X55"/>
  <c r="Y55"/>
  <c r="Z55"/>
  <c r="AA55"/>
  <c r="AB55"/>
  <c r="AC55"/>
  <c r="AD55"/>
  <c r="AE55"/>
  <c r="AF55"/>
  <c r="AG55"/>
  <c r="AH55"/>
  <c r="AI55"/>
  <c r="X56"/>
  <c r="Y56"/>
  <c r="Z56"/>
  <c r="AA56"/>
  <c r="AB56"/>
  <c r="AC56"/>
  <c r="AD56"/>
  <c r="AE56"/>
  <c r="AF56"/>
  <c r="AG56"/>
  <c r="AH56"/>
  <c r="AI56"/>
  <c r="X57"/>
  <c r="Y57"/>
  <c r="Z57"/>
  <c r="AA57"/>
  <c r="AB57"/>
  <c r="AC57"/>
  <c r="AD57"/>
  <c r="AE57"/>
  <c r="AF57"/>
  <c r="AG57"/>
  <c r="AH57"/>
  <c r="AI57"/>
  <c r="X58"/>
  <c r="Y58"/>
  <c r="Z58"/>
  <c r="AA58"/>
  <c r="AB58"/>
  <c r="AC58"/>
  <c r="AD58"/>
  <c r="AE58"/>
  <c r="AF58"/>
  <c r="AG58"/>
  <c r="AH58"/>
  <c r="AI58"/>
  <c r="AI48"/>
  <c r="AH48"/>
  <c r="AG48"/>
  <c r="AF48"/>
  <c r="AE48"/>
  <c r="AE59" s="1"/>
  <c r="AD48"/>
  <c r="AC48"/>
  <c r="AC59" s="1"/>
  <c r="AB48"/>
  <c r="AA48"/>
  <c r="AA59" s="1"/>
  <c r="Z48"/>
  <c r="Y48"/>
  <c r="Y59" s="1"/>
  <c r="X48"/>
  <c r="Y69"/>
  <c r="AA69"/>
  <c r="AC69"/>
  <c r="AE69"/>
  <c r="AG69"/>
  <c r="Z70"/>
  <c r="AA70"/>
  <c r="AB70"/>
  <c r="AC70"/>
  <c r="AD70"/>
  <c r="AE70"/>
  <c r="AF70"/>
  <c r="AG70"/>
  <c r="AH70"/>
  <c r="AI70"/>
  <c r="X71"/>
  <c r="Y71"/>
  <c r="Z71"/>
  <c r="AA71"/>
  <c r="AB71"/>
  <c r="AC71"/>
  <c r="AD71"/>
  <c r="AE71"/>
  <c r="AF71"/>
  <c r="AG71"/>
  <c r="AH71"/>
  <c r="AI71"/>
  <c r="X72"/>
  <c r="Y72"/>
  <c r="Z72"/>
  <c r="AA72"/>
  <c r="AB72"/>
  <c r="AC72"/>
  <c r="AD72"/>
  <c r="AE72"/>
  <c r="AF72"/>
  <c r="AG72"/>
  <c r="AH72"/>
  <c r="X73"/>
  <c r="Y73"/>
  <c r="Z73"/>
  <c r="AA73"/>
  <c r="AB73"/>
  <c r="AC73"/>
  <c r="AD73"/>
  <c r="AE73"/>
  <c r="AF73"/>
  <c r="AG73"/>
  <c r="AH73"/>
  <c r="X74"/>
  <c r="Y74"/>
  <c r="Z74"/>
  <c r="AA74"/>
  <c r="AB74"/>
  <c r="AC74"/>
  <c r="AD74"/>
  <c r="AE74"/>
  <c r="AF74"/>
  <c r="AG74"/>
  <c r="AH74"/>
  <c r="X75"/>
  <c r="Y75"/>
  <c r="Z75"/>
  <c r="AA75"/>
  <c r="AB75"/>
  <c r="AC75"/>
  <c r="AD75"/>
  <c r="AE75"/>
  <c r="AF75"/>
  <c r="AG75"/>
  <c r="AH75"/>
  <c r="X76"/>
  <c r="Y76"/>
  <c r="Z76"/>
  <c r="AA76"/>
  <c r="AB76"/>
  <c r="AC76"/>
  <c r="AD76"/>
  <c r="AE76"/>
  <c r="AF76"/>
  <c r="AG76"/>
  <c r="AH76"/>
  <c r="X77"/>
  <c r="Y77"/>
  <c r="Z77"/>
  <c r="AA77"/>
  <c r="AB77"/>
  <c r="AC77"/>
  <c r="AD77"/>
  <c r="AE77"/>
  <c r="AF77"/>
  <c r="AG77"/>
  <c r="AH77"/>
  <c r="X78"/>
  <c r="Y78"/>
  <c r="Z78"/>
  <c r="AA78"/>
  <c r="AB78"/>
  <c r="AC78"/>
  <c r="AD78"/>
  <c r="AE78"/>
  <c r="AF78"/>
  <c r="AG78"/>
  <c r="AH78"/>
  <c r="X79"/>
  <c r="Y79"/>
  <c r="Z79"/>
  <c r="AA79"/>
  <c r="AB79"/>
  <c r="AC79"/>
  <c r="AD79"/>
  <c r="AE79"/>
  <c r="AF79"/>
  <c r="AG79"/>
  <c r="AH79"/>
  <c r="X80"/>
  <c r="Y80"/>
  <c r="Z80"/>
  <c r="AA80"/>
  <c r="AB80"/>
  <c r="AC80"/>
  <c r="AD80"/>
  <c r="AE80"/>
  <c r="AF80"/>
  <c r="AG80"/>
  <c r="AH80"/>
  <c r="X81"/>
  <c r="Y81"/>
  <c r="Z81"/>
  <c r="AA81"/>
  <c r="AB81"/>
  <c r="AC81"/>
  <c r="AD81"/>
  <c r="AE81"/>
  <c r="AF81"/>
  <c r="AG81"/>
  <c r="AH81"/>
  <c r="X82"/>
  <c r="Y82"/>
  <c r="Z82"/>
  <c r="AA82"/>
  <c r="AB82"/>
  <c r="AC82"/>
  <c r="AD82"/>
  <c r="AE82"/>
  <c r="AF82"/>
  <c r="AG82"/>
  <c r="AH82"/>
  <c r="X84"/>
  <c r="Y84"/>
  <c r="Z84"/>
  <c r="AA84"/>
  <c r="AB84"/>
  <c r="AC84"/>
  <c r="AD84"/>
  <c r="AE84"/>
  <c r="AF84"/>
  <c r="AG84"/>
  <c r="AH84"/>
  <c r="X85"/>
  <c r="Y85"/>
  <c r="Z85"/>
  <c r="AA85"/>
  <c r="AB85"/>
  <c r="AC85"/>
  <c r="AD85"/>
  <c r="AE85"/>
  <c r="AF85"/>
  <c r="AG85"/>
  <c r="AH85"/>
  <c r="X86"/>
  <c r="Y86"/>
  <c r="Z86"/>
  <c r="AA86"/>
  <c r="AB86"/>
  <c r="AC86"/>
  <c r="AD86"/>
  <c r="AE86"/>
  <c r="AF86"/>
  <c r="AG86"/>
  <c r="AH86"/>
  <c r="X87"/>
  <c r="Y87"/>
  <c r="Z87"/>
  <c r="AA87"/>
  <c r="AB87"/>
  <c r="AC87"/>
  <c r="AD87"/>
  <c r="AE87"/>
  <c r="AF87"/>
  <c r="AG87"/>
  <c r="AH87"/>
  <c r="X88"/>
  <c r="Y88"/>
  <c r="Z88"/>
  <c r="AA88"/>
  <c r="AB88"/>
  <c r="AC88"/>
  <c r="AD88"/>
  <c r="AE88"/>
  <c r="AF88"/>
  <c r="AG88"/>
  <c r="AH88"/>
  <c r="X89"/>
  <c r="Y89"/>
  <c r="Z89"/>
  <c r="AA89"/>
  <c r="AB89"/>
  <c r="AC89"/>
  <c r="AD89"/>
  <c r="AE89"/>
  <c r="AF89"/>
  <c r="AH89"/>
  <c r="X90"/>
  <c r="Y90"/>
  <c r="Z90"/>
  <c r="AA90"/>
  <c r="AB90"/>
  <c r="AC90"/>
  <c r="AD90"/>
  <c r="AE90"/>
  <c r="AF90"/>
  <c r="AG90"/>
  <c r="AH90"/>
  <c r="X91"/>
  <c r="Y91"/>
  <c r="Z91"/>
  <c r="AA91"/>
  <c r="AB91"/>
  <c r="AC91"/>
  <c r="AD91"/>
  <c r="AE91"/>
  <c r="AF91"/>
  <c r="AG91"/>
  <c r="AH91"/>
  <c r="X92"/>
  <c r="Y92"/>
  <c r="Z92"/>
  <c r="AA92"/>
  <c r="AB92"/>
  <c r="AC92"/>
  <c r="AD92"/>
  <c r="AE92"/>
  <c r="AF92"/>
  <c r="AG92"/>
  <c r="AH92"/>
  <c r="X93"/>
  <c r="Y93"/>
  <c r="Z93"/>
  <c r="AA93"/>
  <c r="AB93"/>
  <c r="AC93"/>
  <c r="AD93"/>
  <c r="AE93"/>
  <c r="AF93"/>
  <c r="AG93"/>
  <c r="AH93"/>
  <c r="X94"/>
  <c r="Y94"/>
  <c r="Z94"/>
  <c r="AA94"/>
  <c r="AB94"/>
  <c r="AC94"/>
  <c r="AD94"/>
  <c r="AE94"/>
  <c r="AF94"/>
  <c r="AG94"/>
  <c r="AH94"/>
  <c r="X95"/>
  <c r="Y95"/>
  <c r="Z95"/>
  <c r="AA95"/>
  <c r="AB95"/>
  <c r="AC95"/>
  <c r="AD95"/>
  <c r="AE95"/>
  <c r="AF95"/>
  <c r="AG95"/>
  <c r="AH95"/>
  <c r="X96"/>
  <c r="Y96"/>
  <c r="Z96"/>
  <c r="AA96"/>
  <c r="AB96"/>
  <c r="AC96"/>
  <c r="AD96"/>
  <c r="AE96"/>
  <c r="AF96"/>
  <c r="AG96"/>
  <c r="AH96"/>
  <c r="X97"/>
  <c r="Y97"/>
  <c r="Z97"/>
  <c r="AA97"/>
  <c r="AB97"/>
  <c r="AC97"/>
  <c r="AD97"/>
  <c r="AE97"/>
  <c r="AF97"/>
  <c r="AG97"/>
  <c r="AH97"/>
  <c r="X98"/>
  <c r="Y98"/>
  <c r="Z98"/>
  <c r="AA98"/>
  <c r="AB98"/>
  <c r="AC98"/>
  <c r="AD98"/>
  <c r="AE98"/>
  <c r="AF98"/>
  <c r="AG98"/>
  <c r="AH98"/>
  <c r="X99"/>
  <c r="Y99"/>
  <c r="Z99"/>
  <c r="AA99"/>
  <c r="AB99"/>
  <c r="AC99"/>
  <c r="AD99"/>
  <c r="AE99"/>
  <c r="AF99"/>
  <c r="AG99"/>
  <c r="AH99"/>
  <c r="X100"/>
  <c r="Y100"/>
  <c r="Z100"/>
  <c r="AA100"/>
  <c r="AB100"/>
  <c r="AC100"/>
  <c r="AD100"/>
  <c r="AE100"/>
  <c r="AF100"/>
  <c r="AG100"/>
  <c r="AH100"/>
  <c r="X102"/>
  <c r="Y102"/>
  <c r="Z102"/>
  <c r="AA102"/>
  <c r="AB102"/>
  <c r="AC102"/>
  <c r="AD102"/>
  <c r="AE102"/>
  <c r="AF102"/>
  <c r="AG102"/>
  <c r="AH102"/>
  <c r="X103"/>
  <c r="Y103"/>
  <c r="Z103"/>
  <c r="AA103"/>
  <c r="AB103"/>
  <c r="AC103"/>
  <c r="AD103"/>
  <c r="AE103"/>
  <c r="AF103"/>
  <c r="AG103"/>
  <c r="AH103"/>
  <c r="X104"/>
  <c r="Y104"/>
  <c r="Z104"/>
  <c r="AA104"/>
  <c r="AB104"/>
  <c r="AC104"/>
  <c r="AD104"/>
  <c r="AE104"/>
  <c r="AF104"/>
  <c r="AG104"/>
  <c r="AH104"/>
  <c r="X106"/>
  <c r="Y106"/>
  <c r="Z106"/>
  <c r="AA106"/>
  <c r="AB106"/>
  <c r="AC106"/>
  <c r="AD106"/>
  <c r="AE106"/>
  <c r="AF106"/>
  <c r="AG106"/>
  <c r="AH106"/>
  <c r="Y68"/>
  <c r="Z68"/>
  <c r="AA68"/>
  <c r="AB68"/>
  <c r="AC68"/>
  <c r="AD68"/>
  <c r="AE68"/>
  <c r="AF68"/>
  <c r="AG68"/>
  <c r="AH68"/>
  <c r="AI68"/>
  <c r="X68"/>
  <c r="AI64"/>
  <c r="AG64"/>
  <c r="AE64"/>
  <c r="AJ66"/>
  <c r="AJ67"/>
  <c r="AJ70"/>
  <c r="AJ71"/>
  <c r="AJ72"/>
  <c r="AJ63"/>
  <c r="Y65"/>
  <c r="Z65"/>
  <c r="AA65"/>
  <c r="AB65"/>
  <c r="AC65"/>
  <c r="AD65"/>
  <c r="AE65"/>
  <c r="AF65"/>
  <c r="AG65"/>
  <c r="AH65"/>
  <c r="AI65"/>
  <c r="X65"/>
  <c r="Q30" i="14"/>
  <c r="Q31"/>
  <c r="AJ68" i="13" l="1"/>
  <c r="S119"/>
  <c r="S121" s="1"/>
  <c r="AG59"/>
  <c r="S41"/>
  <c r="AJ35"/>
  <c r="S157"/>
  <c r="AJ64"/>
  <c r="AJ41"/>
  <c r="X151"/>
  <c r="X157" s="1"/>
  <c r="AI107"/>
  <c r="AJ58"/>
  <c r="AJ57"/>
  <c r="AJ56"/>
  <c r="AJ55"/>
  <c r="AJ54"/>
  <c r="AJ53"/>
  <c r="AJ52"/>
  <c r="AJ103"/>
  <c r="AJ101"/>
  <c r="AJ99"/>
  <c r="AJ97"/>
  <c r="AJ95"/>
  <c r="AJ93"/>
  <c r="AJ91"/>
  <c r="AJ87"/>
  <c r="AJ85"/>
  <c r="AJ83"/>
  <c r="AJ81"/>
  <c r="AJ79"/>
  <c r="AJ77"/>
  <c r="AJ75"/>
  <c r="AJ73"/>
  <c r="AJ51"/>
  <c r="AJ50"/>
  <c r="AJ106"/>
  <c r="AJ104"/>
  <c r="AJ102"/>
  <c r="AJ100"/>
  <c r="AJ98"/>
  <c r="AJ96"/>
  <c r="AJ94"/>
  <c r="AJ92"/>
  <c r="AJ90"/>
  <c r="AJ88"/>
  <c r="AJ86"/>
  <c r="AJ84"/>
  <c r="AJ82"/>
  <c r="AJ80"/>
  <c r="AJ78"/>
  <c r="AJ76"/>
  <c r="AJ74"/>
  <c r="AJ65"/>
  <c r="AJ48"/>
  <c r="S159" l="1"/>
  <c r="Q65"/>
  <c r="Q105" l="1"/>
  <c r="AH105" s="1"/>
  <c r="Q139"/>
  <c r="Q38"/>
  <c r="Q69"/>
  <c r="AH69" s="1"/>
  <c r="Q49"/>
  <c r="AH49" s="1"/>
  <c r="AH59" s="1"/>
  <c r="Q19"/>
  <c r="AI46"/>
  <c r="T49" i="14"/>
  <c r="S49"/>
  <c r="I49"/>
  <c r="H49"/>
  <c r="M48"/>
  <c r="N48" s="1"/>
  <c r="Q48" s="1"/>
  <c r="M47"/>
  <c r="N47" s="1"/>
  <c r="Q47" s="1"/>
  <c r="M46"/>
  <c r="N46" s="1"/>
  <c r="Q46" s="1"/>
  <c r="M45"/>
  <c r="N45" s="1"/>
  <c r="Q45" s="1"/>
  <c r="M44"/>
  <c r="N44" s="1"/>
  <c r="L43"/>
  <c r="M43" s="1"/>
  <c r="M42"/>
  <c r="N42" s="1"/>
  <c r="Q42" s="1"/>
  <c r="M41"/>
  <c r="N41" s="1"/>
  <c r="Q41" s="1"/>
  <c r="M40"/>
  <c r="N40" s="1"/>
  <c r="Q40" s="1"/>
  <c r="M39"/>
  <c r="N39" s="1"/>
  <c r="Q39" s="1"/>
  <c r="M38"/>
  <c r="N38" s="1"/>
  <c r="Q38" s="1"/>
  <c r="M37"/>
  <c r="N37" s="1"/>
  <c r="Q37" s="1"/>
  <c r="M36"/>
  <c r="N36" s="1"/>
  <c r="Q36" s="1"/>
  <c r="M35"/>
  <c r="N35" s="1"/>
  <c r="Q35" s="1"/>
  <c r="M34"/>
  <c r="N34" s="1"/>
  <c r="Q34" s="1"/>
  <c r="M33"/>
  <c r="N33" s="1"/>
  <c r="Q33" s="1"/>
  <c r="M32"/>
  <c r="N32" s="1"/>
  <c r="Q32" s="1"/>
  <c r="R31"/>
  <c r="T30"/>
  <c r="T50" s="1"/>
  <c r="S30"/>
  <c r="S50" s="1"/>
  <c r="R30"/>
  <c r="M29"/>
  <c r="N29" s="1"/>
  <c r="M28"/>
  <c r="N28" s="1"/>
  <c r="N27"/>
  <c r="M27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Q13" s="1"/>
  <c r="M12"/>
  <c r="N12" s="1"/>
  <c r="M11"/>
  <c r="N11" s="1"/>
  <c r="M10"/>
  <c r="N10" s="1"/>
  <c r="M9"/>
  <c r="N9" s="1"/>
  <c r="Q9" s="1"/>
  <c r="M8"/>
  <c r="N8" s="1"/>
  <c r="Q8" s="1"/>
  <c r="M7"/>
  <c r="N7" s="1"/>
  <c r="Q7" s="1"/>
  <c r="M6"/>
  <c r="N6" s="1"/>
  <c r="Q6" s="1"/>
  <c r="M5"/>
  <c r="N5" s="1"/>
  <c r="Q5" s="1"/>
  <c r="M4"/>
  <c r="N4" s="1"/>
  <c r="Q4" s="1"/>
  <c r="U161" i="13"/>
  <c r="R156"/>
  <c r="Q156"/>
  <c r="P156"/>
  <c r="O156"/>
  <c r="N156"/>
  <c r="M156"/>
  <c r="D156"/>
  <c r="C156"/>
  <c r="U155"/>
  <c r="U156" s="1"/>
  <c r="T155"/>
  <c r="T156" s="1"/>
  <c r="L155"/>
  <c r="L156" s="1"/>
  <c r="K155"/>
  <c r="K156" s="1"/>
  <c r="J155"/>
  <c r="J156" s="1"/>
  <c r="I155"/>
  <c r="I156" s="1"/>
  <c r="H155"/>
  <c r="H156" s="1"/>
  <c r="G155"/>
  <c r="G156" s="1"/>
  <c r="V154"/>
  <c r="U149"/>
  <c r="R149"/>
  <c r="Q149"/>
  <c r="M149"/>
  <c r="L149"/>
  <c r="L153" s="1"/>
  <c r="K149"/>
  <c r="I149"/>
  <c r="H149"/>
  <c r="G149"/>
  <c r="F149"/>
  <c r="C149"/>
  <c r="T148"/>
  <c r="T147"/>
  <c r="V147" s="1"/>
  <c r="T146"/>
  <c r="V146" s="1"/>
  <c r="T145"/>
  <c r="V145" s="1"/>
  <c r="T144"/>
  <c r="V144" s="1"/>
  <c r="T143"/>
  <c r="V143" s="1"/>
  <c r="T142"/>
  <c r="V142" s="1"/>
  <c r="T141"/>
  <c r="V141" s="1"/>
  <c r="T140"/>
  <c r="V140" s="1"/>
  <c r="T139"/>
  <c r="V139" s="1"/>
  <c r="T138"/>
  <c r="V138" s="1"/>
  <c r="T137"/>
  <c r="V137" s="1"/>
  <c r="T136"/>
  <c r="V136" s="1"/>
  <c r="T135"/>
  <c r="V135" s="1"/>
  <c r="D135"/>
  <c r="D149" s="1"/>
  <c r="T134"/>
  <c r="V134" s="1"/>
  <c r="P133"/>
  <c r="P149" s="1"/>
  <c r="O133"/>
  <c r="T133" s="1"/>
  <c r="V133" s="1"/>
  <c r="T132"/>
  <c r="V132" s="1"/>
  <c r="T131"/>
  <c r="V131" s="1"/>
  <c r="T130"/>
  <c r="V130" s="1"/>
  <c r="J129"/>
  <c r="J149" s="1"/>
  <c r="T128"/>
  <c r="V128" s="1"/>
  <c r="T127"/>
  <c r="V127" s="1"/>
  <c r="O126"/>
  <c r="N126"/>
  <c r="T126" s="1"/>
  <c r="V126" s="1"/>
  <c r="T125"/>
  <c r="V125" s="1"/>
  <c r="T124"/>
  <c r="C121"/>
  <c r="U118"/>
  <c r="R118"/>
  <c r="Q118"/>
  <c r="P118"/>
  <c r="O118"/>
  <c r="N118"/>
  <c r="L118"/>
  <c r="K118"/>
  <c r="J118"/>
  <c r="I118"/>
  <c r="H118"/>
  <c r="G118"/>
  <c r="D118"/>
  <c r="T117"/>
  <c r="V117" s="1"/>
  <c r="T115"/>
  <c r="V115" s="1"/>
  <c r="M114"/>
  <c r="M118" s="1"/>
  <c r="T113"/>
  <c r="V113" s="1"/>
  <c r="T112"/>
  <c r="V112" s="1"/>
  <c r="T111"/>
  <c r="V111" s="1"/>
  <c r="T110"/>
  <c r="U107"/>
  <c r="R107"/>
  <c r="Q107"/>
  <c r="T106"/>
  <c r="V106" s="1"/>
  <c r="P105"/>
  <c r="AG105" s="1"/>
  <c r="O105"/>
  <c r="AF105" s="1"/>
  <c r="N105"/>
  <c r="M105"/>
  <c r="AD105" s="1"/>
  <c r="L105"/>
  <c r="K105"/>
  <c r="AB105" s="1"/>
  <c r="J105"/>
  <c r="I105"/>
  <c r="Z105" s="1"/>
  <c r="H105"/>
  <c r="G105"/>
  <c r="D105"/>
  <c r="D107" s="1"/>
  <c r="C105"/>
  <c r="C107" s="1"/>
  <c r="T104"/>
  <c r="T103"/>
  <c r="V103" s="1"/>
  <c r="T102"/>
  <c r="V102" s="1"/>
  <c r="T101"/>
  <c r="V101" s="1"/>
  <c r="T100"/>
  <c r="V100" s="1"/>
  <c r="T99"/>
  <c r="V99" s="1"/>
  <c r="T98"/>
  <c r="V98" s="1"/>
  <c r="T97"/>
  <c r="V97" s="1"/>
  <c r="T96"/>
  <c r="V96" s="1"/>
  <c r="T95"/>
  <c r="V95" s="1"/>
  <c r="T94"/>
  <c r="V94" s="1"/>
  <c r="T93"/>
  <c r="V93" s="1"/>
  <c r="T92"/>
  <c r="V92" s="1"/>
  <c r="T91"/>
  <c r="V91" s="1"/>
  <c r="T90"/>
  <c r="V90" s="1"/>
  <c r="P89"/>
  <c r="T88"/>
  <c r="V88" s="1"/>
  <c r="T87"/>
  <c r="V87" s="1"/>
  <c r="T86"/>
  <c r="V86" s="1"/>
  <c r="T85"/>
  <c r="V85" s="1"/>
  <c r="T84"/>
  <c r="V84" s="1"/>
  <c r="T83"/>
  <c r="V83" s="1"/>
  <c r="T82"/>
  <c r="V82" s="1"/>
  <c r="T81"/>
  <c r="V81" s="1"/>
  <c r="T80"/>
  <c r="V80" s="1"/>
  <c r="T79"/>
  <c r="V79" s="1"/>
  <c r="T78"/>
  <c r="V78" s="1"/>
  <c r="T77"/>
  <c r="V77" s="1"/>
  <c r="T76"/>
  <c r="V76" s="1"/>
  <c r="T75"/>
  <c r="V75" s="1"/>
  <c r="T74"/>
  <c r="V74" s="1"/>
  <c r="T73"/>
  <c r="V73" s="1"/>
  <c r="T72"/>
  <c r="V72" s="1"/>
  <c r="T71"/>
  <c r="V71" s="1"/>
  <c r="T70"/>
  <c r="V70" s="1"/>
  <c r="O69"/>
  <c r="M69"/>
  <c r="K69"/>
  <c r="I69"/>
  <c r="G69"/>
  <c r="T68"/>
  <c r="V68" s="1"/>
  <c r="T67"/>
  <c r="V67" s="1"/>
  <c r="T66"/>
  <c r="V66" s="1"/>
  <c r="T65"/>
  <c r="V65" s="1"/>
  <c r="T64"/>
  <c r="V64" s="1"/>
  <c r="T63"/>
  <c r="V63" s="1"/>
  <c r="U59"/>
  <c r="R59"/>
  <c r="R119" s="1"/>
  <c r="Q59"/>
  <c r="P59"/>
  <c r="N59"/>
  <c r="L59"/>
  <c r="J59"/>
  <c r="H59"/>
  <c r="D59"/>
  <c r="D119" s="1"/>
  <c r="T58"/>
  <c r="V58" s="1"/>
  <c r="T57"/>
  <c r="V57" s="1"/>
  <c r="T56"/>
  <c r="V56" s="1"/>
  <c r="T55"/>
  <c r="V55" s="1"/>
  <c r="T54"/>
  <c r="V54" s="1"/>
  <c r="T53"/>
  <c r="V53" s="1"/>
  <c r="T52"/>
  <c r="V52" s="1"/>
  <c r="T51"/>
  <c r="V51" s="1"/>
  <c r="T50"/>
  <c r="V50" s="1"/>
  <c r="O49"/>
  <c r="M49"/>
  <c r="K49"/>
  <c r="I49"/>
  <c r="G49"/>
  <c r="T48"/>
  <c r="V48" s="1"/>
  <c r="T47"/>
  <c r="V47" s="1"/>
  <c r="T46"/>
  <c r="V46" s="1"/>
  <c r="T45"/>
  <c r="U41"/>
  <c r="R41"/>
  <c r="O41"/>
  <c r="N41"/>
  <c r="I41"/>
  <c r="H41"/>
  <c r="G41"/>
  <c r="D41"/>
  <c r="T40"/>
  <c r="V40" s="1"/>
  <c r="T39"/>
  <c r="V39" s="1"/>
  <c r="P38"/>
  <c r="P41" s="1"/>
  <c r="M38"/>
  <c r="M41" s="1"/>
  <c r="L38"/>
  <c r="T37"/>
  <c r="V37" s="1"/>
  <c r="T36"/>
  <c r="V36" s="1"/>
  <c r="U35"/>
  <c r="R35"/>
  <c r="Q35"/>
  <c r="P35"/>
  <c r="O35"/>
  <c r="N35"/>
  <c r="M35"/>
  <c r="I35"/>
  <c r="H35"/>
  <c r="G35"/>
  <c r="D35"/>
  <c r="L34"/>
  <c r="L35" s="1"/>
  <c r="K34"/>
  <c r="K41" s="1"/>
  <c r="J34"/>
  <c r="J41" s="1"/>
  <c r="C34"/>
  <c r="C35" s="1"/>
  <c r="T33"/>
  <c r="V33" s="1"/>
  <c r="T32"/>
  <c r="V32" s="1"/>
  <c r="T31"/>
  <c r="V31" s="1"/>
  <c r="T30"/>
  <c r="V30" s="1"/>
  <c r="T29"/>
  <c r="V29" s="1"/>
  <c r="T28"/>
  <c r="V28" s="1"/>
  <c r="T27"/>
  <c r="T26"/>
  <c r="V26" s="1"/>
  <c r="T25"/>
  <c r="V25" s="1"/>
  <c r="T24"/>
  <c r="V24" s="1"/>
  <c r="T23"/>
  <c r="V23" s="1"/>
  <c r="T22"/>
  <c r="V22" s="1"/>
  <c r="L21"/>
  <c r="T20"/>
  <c r="V20" s="1"/>
  <c r="T19"/>
  <c r="V19" s="1"/>
  <c r="T18"/>
  <c r="V18" s="1"/>
  <c r="T17"/>
  <c r="V17" s="1"/>
  <c r="T16"/>
  <c r="V16" s="1"/>
  <c r="T15"/>
  <c r="V15" s="1"/>
  <c r="T14"/>
  <c r="V14" s="1"/>
  <c r="T13"/>
  <c r="V13" s="1"/>
  <c r="T12"/>
  <c r="V12" s="1"/>
  <c r="O12" i="14" l="1"/>
  <c r="Q12"/>
  <c r="O18"/>
  <c r="Q18"/>
  <c r="O26"/>
  <c r="Q26"/>
  <c r="O11"/>
  <c r="Q11"/>
  <c r="O20"/>
  <c r="Q20"/>
  <c r="O28"/>
  <c r="Q28"/>
  <c r="O10"/>
  <c r="Q10"/>
  <c r="O14"/>
  <c r="Q14"/>
  <c r="O22"/>
  <c r="Q22"/>
  <c r="O16"/>
  <c r="Q16"/>
  <c r="O24"/>
  <c r="Q24"/>
  <c r="U44"/>
  <c r="Q44"/>
  <c r="O15"/>
  <c r="Q15"/>
  <c r="O17"/>
  <c r="Q17"/>
  <c r="O19"/>
  <c r="Q19"/>
  <c r="O21"/>
  <c r="Q21"/>
  <c r="O23"/>
  <c r="Q23"/>
  <c r="O25"/>
  <c r="Q25"/>
  <c r="O27"/>
  <c r="Q27"/>
  <c r="O29"/>
  <c r="Q29"/>
  <c r="T51"/>
  <c r="R121" i="13"/>
  <c r="Q41"/>
  <c r="L41"/>
  <c r="D121"/>
  <c r="O149"/>
  <c r="AH107"/>
  <c r="AH119" s="1"/>
  <c r="AH121" s="1"/>
  <c r="AH159" s="1"/>
  <c r="T21"/>
  <c r="V21" s="1"/>
  <c r="T114"/>
  <c r="V114" s="1"/>
  <c r="T49"/>
  <c r="V49" s="1"/>
  <c r="X49"/>
  <c r="K59"/>
  <c r="AB49"/>
  <c r="AB59" s="1"/>
  <c r="O59"/>
  <c r="AF49"/>
  <c r="AF59" s="1"/>
  <c r="I107"/>
  <c r="Z69"/>
  <c r="Z107" s="1"/>
  <c r="M107"/>
  <c r="AD69"/>
  <c r="AD107" s="1"/>
  <c r="P107"/>
  <c r="AG89"/>
  <c r="H107"/>
  <c r="Y105"/>
  <c r="Y107" s="1"/>
  <c r="Y119" s="1"/>
  <c r="Y121" s="1"/>
  <c r="Y159" s="1"/>
  <c r="J107"/>
  <c r="AA105"/>
  <c r="AA107" s="1"/>
  <c r="AA119" s="1"/>
  <c r="AA121" s="1"/>
  <c r="AA159" s="1"/>
  <c r="L107"/>
  <c r="AC105"/>
  <c r="AC107" s="1"/>
  <c r="AC119" s="1"/>
  <c r="AC121" s="1"/>
  <c r="AC159" s="1"/>
  <c r="N107"/>
  <c r="AE105"/>
  <c r="AE107" s="1"/>
  <c r="AE119" s="1"/>
  <c r="AE121" s="1"/>
  <c r="AE159" s="1"/>
  <c r="AJ46"/>
  <c r="AI59"/>
  <c r="AI119" s="1"/>
  <c r="AI121" s="1"/>
  <c r="AI159" s="1"/>
  <c r="J119"/>
  <c r="J121" s="1"/>
  <c r="N119"/>
  <c r="N121" s="1"/>
  <c r="V110"/>
  <c r="I59"/>
  <c r="Z49"/>
  <c r="Z59" s="1"/>
  <c r="M59"/>
  <c r="M119" s="1"/>
  <c r="M121" s="1"/>
  <c r="AD49"/>
  <c r="AD59" s="1"/>
  <c r="G107"/>
  <c r="X69"/>
  <c r="K107"/>
  <c r="AB69"/>
  <c r="AB107" s="1"/>
  <c r="O107"/>
  <c r="AF69"/>
  <c r="AF107" s="1"/>
  <c r="T105"/>
  <c r="V105" s="1"/>
  <c r="X105"/>
  <c r="T38"/>
  <c r="V38" s="1"/>
  <c r="H119"/>
  <c r="H121" s="1"/>
  <c r="L119"/>
  <c r="L121" s="1"/>
  <c r="P119"/>
  <c r="P121" s="1"/>
  <c r="T89"/>
  <c r="V89" s="1"/>
  <c r="Q119"/>
  <c r="Q121" s="1"/>
  <c r="V156"/>
  <c r="U119"/>
  <c r="U121" s="1"/>
  <c r="T59"/>
  <c r="O5" i="14"/>
  <c r="R5"/>
  <c r="O7"/>
  <c r="R7"/>
  <c r="O9"/>
  <c r="R9"/>
  <c r="R33"/>
  <c r="P33"/>
  <c r="R35"/>
  <c r="P35"/>
  <c r="R37"/>
  <c r="P37"/>
  <c r="R39"/>
  <c r="P39"/>
  <c r="R41"/>
  <c r="P41"/>
  <c r="R46"/>
  <c r="P46"/>
  <c r="R48"/>
  <c r="P48"/>
  <c r="O4"/>
  <c r="R4"/>
  <c r="O6"/>
  <c r="R6"/>
  <c r="O8"/>
  <c r="R8"/>
  <c r="O13"/>
  <c r="R13"/>
  <c r="R32"/>
  <c r="P32"/>
  <c r="R34"/>
  <c r="P34"/>
  <c r="R36"/>
  <c r="P36"/>
  <c r="R38"/>
  <c r="P38"/>
  <c r="R40"/>
  <c r="P40"/>
  <c r="R42"/>
  <c r="P42"/>
  <c r="R45"/>
  <c r="P45"/>
  <c r="R47"/>
  <c r="P47"/>
  <c r="R10"/>
  <c r="R11"/>
  <c r="R12"/>
  <c r="R14"/>
  <c r="R15"/>
  <c r="R16"/>
  <c r="R17"/>
  <c r="R18"/>
  <c r="R19"/>
  <c r="R20"/>
  <c r="R21"/>
  <c r="R22"/>
  <c r="R23"/>
  <c r="R24"/>
  <c r="R25"/>
  <c r="R26"/>
  <c r="R27"/>
  <c r="N43"/>
  <c r="Q43" s="1"/>
  <c r="R44"/>
  <c r="O150" i="13"/>
  <c r="O151" s="1"/>
  <c r="O157" s="1"/>
  <c r="D150"/>
  <c r="D151" s="1"/>
  <c r="D157" s="1"/>
  <c r="D159" s="1"/>
  <c r="J150"/>
  <c r="J151" s="1"/>
  <c r="J157" s="1"/>
  <c r="P150"/>
  <c r="P151" s="1"/>
  <c r="P157" s="1"/>
  <c r="I119"/>
  <c r="I121" s="1"/>
  <c r="T34"/>
  <c r="V34" s="1"/>
  <c r="K35"/>
  <c r="G59"/>
  <c r="G119" s="1"/>
  <c r="G121" s="1"/>
  <c r="V124"/>
  <c r="T129"/>
  <c r="V129" s="1"/>
  <c r="N149"/>
  <c r="H150"/>
  <c r="H151" s="1"/>
  <c r="H157" s="1"/>
  <c r="L150"/>
  <c r="L151" s="1"/>
  <c r="L157" s="1"/>
  <c r="R150"/>
  <c r="R151" s="1"/>
  <c r="R157" s="1"/>
  <c r="R159" s="1"/>
  <c r="V27"/>
  <c r="J35"/>
  <c r="V45"/>
  <c r="V59" s="1"/>
  <c r="T69"/>
  <c r="V69" s="1"/>
  <c r="C150"/>
  <c r="C151" s="1"/>
  <c r="C157" s="1"/>
  <c r="C159" s="1"/>
  <c r="G150"/>
  <c r="G151" s="1"/>
  <c r="G157" s="1"/>
  <c r="I150"/>
  <c r="I151" s="1"/>
  <c r="I157" s="1"/>
  <c r="K150"/>
  <c r="K151" s="1"/>
  <c r="K157" s="1"/>
  <c r="M150"/>
  <c r="M151" s="1"/>
  <c r="M157" s="1"/>
  <c r="Q150"/>
  <c r="Q151" s="1"/>
  <c r="Q157" s="1"/>
  <c r="U150"/>
  <c r="U151" s="1"/>
  <c r="U157" s="1"/>
  <c r="V155"/>
  <c r="V41" l="1"/>
  <c r="Q49" i="14"/>
  <c r="V107" i="13"/>
  <c r="AJ105"/>
  <c r="AD119"/>
  <c r="AD121" s="1"/>
  <c r="AD159" s="1"/>
  <c r="Z119"/>
  <c r="Z121" s="1"/>
  <c r="Z159" s="1"/>
  <c r="AF119"/>
  <c r="AF121" s="1"/>
  <c r="AF159" s="1"/>
  <c r="AB119"/>
  <c r="AB121" s="1"/>
  <c r="AB159" s="1"/>
  <c r="J159"/>
  <c r="T118"/>
  <c r="V118" s="1"/>
  <c r="P159"/>
  <c r="L159"/>
  <c r="I159"/>
  <c r="O119"/>
  <c r="O121" s="1"/>
  <c r="O159" s="1"/>
  <c r="K119"/>
  <c r="K121" s="1"/>
  <c r="AJ69"/>
  <c r="X107"/>
  <c r="AJ89"/>
  <c r="AG107"/>
  <c r="AG119" s="1"/>
  <c r="AG121" s="1"/>
  <c r="AG159" s="1"/>
  <c r="AJ49"/>
  <c r="AJ59" s="1"/>
  <c r="X59"/>
  <c r="K159"/>
  <c r="M159"/>
  <c r="Q159"/>
  <c r="P43" i="14"/>
  <c r="P49" s="1"/>
  <c r="P50" s="1"/>
  <c r="R43"/>
  <c r="R49" s="1"/>
  <c r="O30"/>
  <c r="N49"/>
  <c r="N51" s="1"/>
  <c r="N52" s="1"/>
  <c r="G159" i="13"/>
  <c r="T107"/>
  <c r="T119" s="1"/>
  <c r="U159"/>
  <c r="T35"/>
  <c r="V35" s="1"/>
  <c r="N150"/>
  <c r="N151" s="1"/>
  <c r="N157" s="1"/>
  <c r="N159" s="1"/>
  <c r="V149"/>
  <c r="T149"/>
  <c r="H159"/>
  <c r="T41"/>
  <c r="Q51" i="14" l="1"/>
  <c r="Q50"/>
  <c r="V119" i="13"/>
  <c r="V121" s="1"/>
  <c r="X119"/>
  <c r="X121" s="1"/>
  <c r="X159" s="1"/>
  <c r="AJ107"/>
  <c r="AJ119" s="1"/>
  <c r="AJ121" s="1"/>
  <c r="AJ159" s="1"/>
  <c r="T121"/>
  <c r="T150"/>
  <c r="V150" l="1"/>
  <c r="V151" s="1"/>
  <c r="V157" s="1"/>
  <c r="V159" s="1"/>
  <c r="T108"/>
  <c r="T163"/>
  <c r="T151"/>
  <c r="T157" s="1"/>
  <c r="T159" s="1"/>
  <c r="V48" i="8" l="1"/>
  <c r="W48"/>
  <c r="X48"/>
  <c r="Y48"/>
  <c r="Z48"/>
  <c r="AA48"/>
  <c r="AB48"/>
  <c r="AC48"/>
  <c r="AD48"/>
  <c r="AE48"/>
  <c r="AF48"/>
  <c r="U48"/>
  <c r="AH23"/>
  <c r="AH41"/>
  <c r="AH45"/>
  <c r="AH46"/>
  <c r="AH47"/>
  <c r="AH48"/>
  <c r="AH49"/>
  <c r="AH50"/>
  <c r="AH51"/>
  <c r="AH52"/>
  <c r="AH63"/>
  <c r="AH64"/>
  <c r="AH65"/>
  <c r="AH68"/>
  <c r="AH69"/>
  <c r="AH71"/>
  <c r="AH72"/>
  <c r="AH84"/>
  <c r="AH110"/>
  <c r="AH111"/>
  <c r="AH118"/>
  <c r="AH119"/>
  <c r="AH120"/>
  <c r="AH121"/>
  <c r="AH124"/>
  <c r="AH126"/>
  <c r="AH127"/>
  <c r="AH143"/>
  <c r="AH147"/>
  <c r="AH148"/>
  <c r="AH150"/>
  <c r="AH153"/>
  <c r="AF43"/>
  <c r="AE43"/>
  <c r="AD43"/>
  <c r="AC43"/>
  <c r="AB43"/>
  <c r="AA43"/>
  <c r="Z43"/>
  <c r="Y43"/>
  <c r="X43"/>
  <c r="W43"/>
  <c r="V43"/>
  <c r="U43"/>
  <c r="AF42"/>
  <c r="AE42"/>
  <c r="AD42"/>
  <c r="AC42"/>
  <c r="AB42"/>
  <c r="AA42"/>
  <c r="Z42"/>
  <c r="Y42"/>
  <c r="X42"/>
  <c r="W42"/>
  <c r="V42"/>
  <c r="U42"/>
  <c r="AF24"/>
  <c r="AE24"/>
  <c r="AD24"/>
  <c r="AC24"/>
  <c r="AB24"/>
  <c r="AA24"/>
  <c r="Z24"/>
  <c r="Y24"/>
  <c r="X24"/>
  <c r="W24"/>
  <c r="V24"/>
  <c r="U24"/>
  <c r="AF21"/>
  <c r="AE21"/>
  <c r="AD21"/>
  <c r="AC21"/>
  <c r="AB21"/>
  <c r="AA21"/>
  <c r="Z21"/>
  <c r="Y21"/>
  <c r="X21"/>
  <c r="W21"/>
  <c r="V21"/>
  <c r="U21"/>
  <c r="AF19"/>
  <c r="AE19"/>
  <c r="AD19"/>
  <c r="AC19"/>
  <c r="AB19"/>
  <c r="AA19"/>
  <c r="Z19"/>
  <c r="Y19"/>
  <c r="X19"/>
  <c r="W19"/>
  <c r="V19"/>
  <c r="U19"/>
  <c r="AF15"/>
  <c r="AE15"/>
  <c r="AD15"/>
  <c r="AC15"/>
  <c r="AB15"/>
  <c r="AA15"/>
  <c r="Z15"/>
  <c r="Y15"/>
  <c r="X15"/>
  <c r="W15"/>
  <c r="V15"/>
  <c r="U15"/>
  <c r="AF14"/>
  <c r="AE14"/>
  <c r="AD14"/>
  <c r="AC14"/>
  <c r="AB14"/>
  <c r="AA14"/>
  <c r="Z14"/>
  <c r="Y14"/>
  <c r="X14"/>
  <c r="W14"/>
  <c r="V14"/>
  <c r="U14"/>
  <c r="AF13"/>
  <c r="AE13"/>
  <c r="AD13"/>
  <c r="AC13"/>
  <c r="AB13"/>
  <c r="AA13"/>
  <c r="Z13"/>
  <c r="Y13"/>
  <c r="X13"/>
  <c r="W13"/>
  <c r="V13"/>
  <c r="U13"/>
  <c r="AF12"/>
  <c r="AE12"/>
  <c r="AD12"/>
  <c r="AC12"/>
  <c r="AB12"/>
  <c r="AA12"/>
  <c r="Z12"/>
  <c r="Y12"/>
  <c r="X12"/>
  <c r="W12"/>
  <c r="V12"/>
  <c r="U12"/>
  <c r="AF36"/>
  <c r="AE36"/>
  <c r="AD36"/>
  <c r="AC36"/>
  <c r="AB36"/>
  <c r="AA36"/>
  <c r="Z36"/>
  <c r="Y36"/>
  <c r="X36"/>
  <c r="W36"/>
  <c r="V36"/>
  <c r="U36"/>
  <c r="AF35"/>
  <c r="AE35"/>
  <c r="AD35"/>
  <c r="AC35"/>
  <c r="AB35"/>
  <c r="AA35"/>
  <c r="Z35"/>
  <c r="Y35"/>
  <c r="X35"/>
  <c r="W35"/>
  <c r="V35"/>
  <c r="U35"/>
  <c r="AF34"/>
  <c r="AE34"/>
  <c r="AD34"/>
  <c r="AC34"/>
  <c r="AB34"/>
  <c r="AA34"/>
  <c r="Z34"/>
  <c r="Y34"/>
  <c r="X34"/>
  <c r="W34"/>
  <c r="V34"/>
  <c r="U34"/>
  <c r="AF31"/>
  <c r="AE31"/>
  <c r="AD31"/>
  <c r="AC31"/>
  <c r="AB31"/>
  <c r="AA31"/>
  <c r="Z31"/>
  <c r="Y31"/>
  <c r="X31"/>
  <c r="W31"/>
  <c r="V31"/>
  <c r="U31"/>
  <c r="AF30"/>
  <c r="AE30"/>
  <c r="AD30"/>
  <c r="AC30"/>
  <c r="AB30"/>
  <c r="AA30"/>
  <c r="Z30"/>
  <c r="Y30"/>
  <c r="X30"/>
  <c r="W30"/>
  <c r="V30"/>
  <c r="U30"/>
  <c r="AF29"/>
  <c r="AF39" s="1"/>
  <c r="AE29"/>
  <c r="AE39" s="1"/>
  <c r="AD29"/>
  <c r="AD39" s="1"/>
  <c r="AC29"/>
  <c r="AC39" s="1"/>
  <c r="AB29"/>
  <c r="AB39" s="1"/>
  <c r="AA29"/>
  <c r="AA39" s="1"/>
  <c r="Z29"/>
  <c r="Z39" s="1"/>
  <c r="Y29"/>
  <c r="Y39" s="1"/>
  <c r="X29"/>
  <c r="X39" s="1"/>
  <c r="W29"/>
  <c r="V29"/>
  <c r="U29"/>
  <c r="AF117"/>
  <c r="AE117"/>
  <c r="AD117"/>
  <c r="AC117"/>
  <c r="AB117"/>
  <c r="AA117"/>
  <c r="Z117"/>
  <c r="Y117"/>
  <c r="X117"/>
  <c r="W117"/>
  <c r="V117"/>
  <c r="U117"/>
  <c r="AF116"/>
  <c r="AE116"/>
  <c r="AD116"/>
  <c r="AC116"/>
  <c r="AB116"/>
  <c r="AA116"/>
  <c r="Z116"/>
  <c r="Y116"/>
  <c r="X116"/>
  <c r="W116"/>
  <c r="V116"/>
  <c r="U116"/>
  <c r="AF115"/>
  <c r="AE115"/>
  <c r="AD115"/>
  <c r="AC115"/>
  <c r="AB115"/>
  <c r="AA115"/>
  <c r="Z115"/>
  <c r="Y115"/>
  <c r="X115"/>
  <c r="W115"/>
  <c r="V115"/>
  <c r="U115"/>
  <c r="AH115" s="1"/>
  <c r="AF114"/>
  <c r="AE114"/>
  <c r="AD114"/>
  <c r="AC114"/>
  <c r="AB114"/>
  <c r="AA114"/>
  <c r="Z114"/>
  <c r="Y114"/>
  <c r="X114"/>
  <c r="W114"/>
  <c r="V114"/>
  <c r="U114"/>
  <c r="AH114" s="1"/>
  <c r="AF113"/>
  <c r="AE113"/>
  <c r="AD113"/>
  <c r="AC113"/>
  <c r="AB113"/>
  <c r="AA113"/>
  <c r="Z113"/>
  <c r="Y113"/>
  <c r="X113"/>
  <c r="W113"/>
  <c r="V113"/>
  <c r="U113"/>
  <c r="AH113" s="1"/>
  <c r="AF112"/>
  <c r="AE112"/>
  <c r="AD112"/>
  <c r="AC112"/>
  <c r="AB112"/>
  <c r="AA112"/>
  <c r="Z112"/>
  <c r="Y112"/>
  <c r="X112"/>
  <c r="W112"/>
  <c r="V112"/>
  <c r="U112"/>
  <c r="AH112" s="1"/>
  <c r="AF149"/>
  <c r="AF151" s="1"/>
  <c r="AF152" s="1"/>
  <c r="AE149"/>
  <c r="AD149"/>
  <c r="AD151" s="1"/>
  <c r="AC149"/>
  <c r="AB149"/>
  <c r="AB151" s="1"/>
  <c r="AB152" s="1"/>
  <c r="AA149"/>
  <c r="Z149"/>
  <c r="Z151" s="1"/>
  <c r="Y149"/>
  <c r="X149"/>
  <c r="X151" s="1"/>
  <c r="X152" s="1"/>
  <c r="W149"/>
  <c r="V149"/>
  <c r="V151" s="1"/>
  <c r="U149"/>
  <c r="U16"/>
  <c r="U17"/>
  <c r="U18"/>
  <c r="AH18" s="1"/>
  <c r="U20"/>
  <c r="AH20" s="1"/>
  <c r="U22"/>
  <c r="AH22" s="1"/>
  <c r="U25"/>
  <c r="AH25" s="1"/>
  <c r="U26"/>
  <c r="AH26" s="1"/>
  <c r="U27"/>
  <c r="AH27" s="1"/>
  <c r="U28"/>
  <c r="AH28" s="1"/>
  <c r="U32"/>
  <c r="AH32" s="1"/>
  <c r="U33"/>
  <c r="AH33" s="1"/>
  <c r="U37"/>
  <c r="AH37" s="1"/>
  <c r="U38"/>
  <c r="U40"/>
  <c r="AH40" s="1"/>
  <c r="AI13"/>
  <c r="AI14"/>
  <c r="AI15"/>
  <c r="AI16"/>
  <c r="AI17"/>
  <c r="AI18"/>
  <c r="AI19"/>
  <c r="AI20"/>
  <c r="AI21"/>
  <c r="AI22"/>
  <c r="AI24"/>
  <c r="AI25"/>
  <c r="AI26"/>
  <c r="AI27"/>
  <c r="AI28"/>
  <c r="AI29"/>
  <c r="AI30"/>
  <c r="AI31"/>
  <c r="AI32"/>
  <c r="AI33"/>
  <c r="AI34"/>
  <c r="AI35"/>
  <c r="AI36"/>
  <c r="AI37"/>
  <c r="AI38"/>
  <c r="AI40"/>
  <c r="AI42"/>
  <c r="AI43"/>
  <c r="AI45"/>
  <c r="AI46"/>
  <c r="AI47"/>
  <c r="AI63"/>
  <c r="AI64"/>
  <c r="AI65"/>
  <c r="AI68"/>
  <c r="AI110"/>
  <c r="AI111"/>
  <c r="AI112"/>
  <c r="AI113"/>
  <c r="AI114"/>
  <c r="AI115"/>
  <c r="AI116"/>
  <c r="AI117"/>
  <c r="AI119"/>
  <c r="AI120"/>
  <c r="AI121"/>
  <c r="AI124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5"/>
  <c r="AI147"/>
  <c r="AI148"/>
  <c r="AI149"/>
  <c r="AI150"/>
  <c r="AI153"/>
  <c r="AI12"/>
  <c r="AJ157"/>
  <c r="AG151"/>
  <c r="AG152" s="1"/>
  <c r="AI152" s="1"/>
  <c r="M24"/>
  <c r="R24" s="1"/>
  <c r="R15"/>
  <c r="R14"/>
  <c r="R13"/>
  <c r="AH156"/>
  <c r="AH158"/>
  <c r="AH159"/>
  <c r="U130"/>
  <c r="V130"/>
  <c r="W130"/>
  <c r="X130"/>
  <c r="Y130"/>
  <c r="Z130"/>
  <c r="AA130"/>
  <c r="AB130"/>
  <c r="AC130"/>
  <c r="AD130"/>
  <c r="AE130"/>
  <c r="AF130"/>
  <c r="U131"/>
  <c r="V131"/>
  <c r="W131"/>
  <c r="X131"/>
  <c r="Y131"/>
  <c r="Z131"/>
  <c r="AA131"/>
  <c r="AB131"/>
  <c r="AC131"/>
  <c r="AD131"/>
  <c r="AE131"/>
  <c r="AF131"/>
  <c r="U132"/>
  <c r="V132"/>
  <c r="W132"/>
  <c r="X132"/>
  <c r="Y132"/>
  <c r="Z132"/>
  <c r="AA132"/>
  <c r="AB132"/>
  <c r="AC132"/>
  <c r="AD132"/>
  <c r="AE132"/>
  <c r="AF132"/>
  <c r="U134"/>
  <c r="V134"/>
  <c r="W134"/>
  <c r="X134"/>
  <c r="Y134"/>
  <c r="Z134"/>
  <c r="AA134"/>
  <c r="AB134"/>
  <c r="AC134"/>
  <c r="AD134"/>
  <c r="AE134"/>
  <c r="AF134"/>
  <c r="U136"/>
  <c r="V136"/>
  <c r="W136"/>
  <c r="X136"/>
  <c r="Y136"/>
  <c r="Z136"/>
  <c r="AA136"/>
  <c r="AB136"/>
  <c r="AC136"/>
  <c r="AD136"/>
  <c r="AE136"/>
  <c r="AF136"/>
  <c r="U137"/>
  <c r="V137"/>
  <c r="W137"/>
  <c r="X137"/>
  <c r="Y137"/>
  <c r="Z137"/>
  <c r="AA137"/>
  <c r="AB137"/>
  <c r="AC137"/>
  <c r="AD137"/>
  <c r="AE137"/>
  <c r="AF137"/>
  <c r="U138"/>
  <c r="V138"/>
  <c r="W138"/>
  <c r="X138"/>
  <c r="Y138"/>
  <c r="Z138"/>
  <c r="AA138"/>
  <c r="AB138"/>
  <c r="AC138"/>
  <c r="AD138"/>
  <c r="AE138"/>
  <c r="AF138"/>
  <c r="U139"/>
  <c r="V139"/>
  <c r="W139"/>
  <c r="X139"/>
  <c r="Y139"/>
  <c r="Z139"/>
  <c r="AA139"/>
  <c r="AB139"/>
  <c r="AC139"/>
  <c r="AD139"/>
  <c r="AE139"/>
  <c r="AF139"/>
  <c r="U140"/>
  <c r="V140"/>
  <c r="W140"/>
  <c r="X140"/>
  <c r="Y140"/>
  <c r="Z140"/>
  <c r="AA140"/>
  <c r="AB140"/>
  <c r="AC140"/>
  <c r="AD140"/>
  <c r="AE140"/>
  <c r="AF140"/>
  <c r="U141"/>
  <c r="V141"/>
  <c r="W141"/>
  <c r="X141"/>
  <c r="Y141"/>
  <c r="Z141"/>
  <c r="AA141"/>
  <c r="AB141"/>
  <c r="AC141"/>
  <c r="AD141"/>
  <c r="AE141"/>
  <c r="AF141"/>
  <c r="U142"/>
  <c r="V142"/>
  <c r="W142"/>
  <c r="X142"/>
  <c r="Y142"/>
  <c r="Z142"/>
  <c r="AA142"/>
  <c r="AB142"/>
  <c r="AC142"/>
  <c r="AD142"/>
  <c r="AE142"/>
  <c r="AF142"/>
  <c r="V17"/>
  <c r="W17"/>
  <c r="V38"/>
  <c r="W38"/>
  <c r="V135"/>
  <c r="V133"/>
  <c r="AH142" l="1"/>
  <c r="AH140"/>
  <c r="AH138"/>
  <c r="AH116"/>
  <c r="AH137"/>
  <c r="AH136"/>
  <c r="AH130"/>
  <c r="AH117"/>
  <c r="AH29"/>
  <c r="AH30"/>
  <c r="AH31"/>
  <c r="AH34"/>
  <c r="AH35"/>
  <c r="AH36"/>
  <c r="AH12"/>
  <c r="AH13"/>
  <c r="AH139"/>
  <c r="AH131"/>
  <c r="AH14"/>
  <c r="AH15"/>
  <c r="AH19"/>
  <c r="AH21"/>
  <c r="AH24"/>
  <c r="AH38"/>
  <c r="AH132"/>
  <c r="AH17"/>
  <c r="AH134"/>
  <c r="AH141"/>
  <c r="AH42"/>
  <c r="AH43"/>
  <c r="AD152"/>
  <c r="Z152"/>
  <c r="V152"/>
  <c r="X44"/>
  <c r="AB44"/>
  <c r="AF44"/>
  <c r="W151"/>
  <c r="W152" s="1"/>
  <c r="AA151"/>
  <c r="AA152" s="1"/>
  <c r="AE151"/>
  <c r="AE152" s="1"/>
  <c r="AA44"/>
  <c r="AE44"/>
  <c r="AH149"/>
  <c r="AH122"/>
  <c r="Z44"/>
  <c r="AD44"/>
  <c r="U151"/>
  <c r="Y151"/>
  <c r="Y152" s="1"/>
  <c r="AC151"/>
  <c r="AC152" s="1"/>
  <c r="Y44"/>
  <c r="AC44"/>
  <c r="W44"/>
  <c r="U39"/>
  <c r="AI151"/>
  <c r="AE135"/>
  <c r="AC135"/>
  <c r="AA135"/>
  <c r="Y135"/>
  <c r="W135"/>
  <c r="U135"/>
  <c r="AE133"/>
  <c r="AC133"/>
  <c r="AA133"/>
  <c r="Y133"/>
  <c r="W133"/>
  <c r="U133"/>
  <c r="AF135"/>
  <c r="AD135"/>
  <c r="AB135"/>
  <c r="Z135"/>
  <c r="X135"/>
  <c r="AF133"/>
  <c r="AD133"/>
  <c r="AB133"/>
  <c r="Z133"/>
  <c r="X133"/>
  <c r="AF129"/>
  <c r="AE129"/>
  <c r="AD129"/>
  <c r="AC129"/>
  <c r="AB129"/>
  <c r="AA129"/>
  <c r="Z129"/>
  <c r="Y129"/>
  <c r="X129"/>
  <c r="W129"/>
  <c r="V129"/>
  <c r="U129"/>
  <c r="AF128"/>
  <c r="AE128"/>
  <c r="AD128"/>
  <c r="AC128"/>
  <c r="AB128"/>
  <c r="AA128"/>
  <c r="Z128"/>
  <c r="Y128"/>
  <c r="X128"/>
  <c r="W128"/>
  <c r="V128"/>
  <c r="U128"/>
  <c r="E162"/>
  <c r="E163" s="1"/>
  <c r="E164" s="1"/>
  <c r="E165" s="1"/>
  <c r="E166" s="1"/>
  <c r="E167" s="1"/>
  <c r="E168" s="1"/>
  <c r="E169" s="1"/>
  <c r="E170" s="1"/>
  <c r="E171" s="1"/>
  <c r="E172" s="1"/>
  <c r="N148" i="9"/>
  <c r="N149" s="1"/>
  <c r="N150" s="1"/>
  <c r="N151" s="1"/>
  <c r="N152" s="1"/>
  <c r="N153" s="1"/>
  <c r="N154" s="1"/>
  <c r="N155" s="1"/>
  <c r="N156" s="1"/>
  <c r="N157" s="1"/>
  <c r="N158" s="1"/>
  <c r="AI141"/>
  <c r="AH141"/>
  <c r="AG141"/>
  <c r="AF141"/>
  <c r="AE141"/>
  <c r="AD141"/>
  <c r="AC141"/>
  <c r="AB141"/>
  <c r="AA141"/>
  <c r="Z141"/>
  <c r="Y141"/>
  <c r="X141"/>
  <c r="W141"/>
  <c r="U141"/>
  <c r="T141"/>
  <c r="S141"/>
  <c r="Q141"/>
  <c r="P141"/>
  <c r="O141"/>
  <c r="N141"/>
  <c r="M141"/>
  <c r="L141"/>
  <c r="K141"/>
  <c r="J141"/>
  <c r="I141"/>
  <c r="H141"/>
  <c r="G141"/>
  <c r="F141"/>
  <c r="C141"/>
  <c r="R139"/>
  <c r="R138"/>
  <c r="R137"/>
  <c r="R136"/>
  <c r="R135"/>
  <c r="R134"/>
  <c r="R133"/>
  <c r="R132"/>
  <c r="R131"/>
  <c r="C128"/>
  <c r="C143" s="1"/>
  <c r="T126"/>
  <c r="T128" s="1"/>
  <c r="AH125"/>
  <c r="AG125"/>
  <c r="AF125"/>
  <c r="AE125"/>
  <c r="AD125"/>
  <c r="AC125"/>
  <c r="AB125"/>
  <c r="AA125"/>
  <c r="Z125"/>
  <c r="Y125"/>
  <c r="X125"/>
  <c r="W125"/>
  <c r="S125"/>
  <c r="Q125"/>
  <c r="P125"/>
  <c r="O125"/>
  <c r="N125"/>
  <c r="M125"/>
  <c r="J125"/>
  <c r="AI124"/>
  <c r="R124"/>
  <c r="U124" s="1"/>
  <c r="AI123"/>
  <c r="R123"/>
  <c r="U123" s="1"/>
  <c r="AI122"/>
  <c r="R122"/>
  <c r="U122" s="1"/>
  <c r="AI121"/>
  <c r="R121"/>
  <c r="U121" s="1"/>
  <c r="AI120"/>
  <c r="R120"/>
  <c r="U120" s="1"/>
  <c r="AI119"/>
  <c r="R119"/>
  <c r="U119" s="1"/>
  <c r="AI118"/>
  <c r="R118"/>
  <c r="U118" s="1"/>
  <c r="U117"/>
  <c r="AI116"/>
  <c r="R116"/>
  <c r="U116" s="1"/>
  <c r="AI115"/>
  <c r="R115"/>
  <c r="U115" s="1"/>
  <c r="U114"/>
  <c r="AI113"/>
  <c r="L113"/>
  <c r="L125" s="1"/>
  <c r="K113"/>
  <c r="K125" s="1"/>
  <c r="I113"/>
  <c r="I125" s="1"/>
  <c r="H113"/>
  <c r="H125" s="1"/>
  <c r="G113"/>
  <c r="G125" s="1"/>
  <c r="F113"/>
  <c r="F125" s="1"/>
  <c r="AI112"/>
  <c r="R112"/>
  <c r="S109"/>
  <c r="Q109"/>
  <c r="AH108"/>
  <c r="AG108"/>
  <c r="AF108"/>
  <c r="AE108"/>
  <c r="AD108"/>
  <c r="AC108"/>
  <c r="AB108"/>
  <c r="AA108"/>
  <c r="Z108"/>
  <c r="Y108"/>
  <c r="X108"/>
  <c r="W108"/>
  <c r="R108"/>
  <c r="U108" s="1"/>
  <c r="AH107"/>
  <c r="X107"/>
  <c r="W107"/>
  <c r="P107"/>
  <c r="AG107" s="1"/>
  <c r="O107"/>
  <c r="O109" s="1"/>
  <c r="N107"/>
  <c r="AE107" s="1"/>
  <c r="M107"/>
  <c r="M109" s="1"/>
  <c r="L107"/>
  <c r="AC107" s="1"/>
  <c r="K107"/>
  <c r="K109" s="1"/>
  <c r="J107"/>
  <c r="AA107" s="1"/>
  <c r="I107"/>
  <c r="Z107" s="1"/>
  <c r="H107"/>
  <c r="Y107" s="1"/>
  <c r="AH106"/>
  <c r="AG106"/>
  <c r="AF106"/>
  <c r="AE106"/>
  <c r="AD106"/>
  <c r="AC106"/>
  <c r="AB106"/>
  <c r="AA106"/>
  <c r="Z106"/>
  <c r="Y106"/>
  <c r="X106"/>
  <c r="W106"/>
  <c r="R106"/>
  <c r="U106" s="1"/>
  <c r="AH105"/>
  <c r="AG105"/>
  <c r="AF105"/>
  <c r="AE105"/>
  <c r="AD105"/>
  <c r="AC105"/>
  <c r="AB105"/>
  <c r="AA105"/>
  <c r="Z105"/>
  <c r="Y105"/>
  <c r="X105"/>
  <c r="W105"/>
  <c r="R105"/>
  <c r="U105" s="1"/>
  <c r="AH104"/>
  <c r="AG104"/>
  <c r="AF104"/>
  <c r="AE104"/>
  <c r="AD104"/>
  <c r="AC104"/>
  <c r="AB104"/>
  <c r="AA104"/>
  <c r="Z104"/>
  <c r="Y104"/>
  <c r="X104"/>
  <c r="W104"/>
  <c r="R104"/>
  <c r="U104" s="1"/>
  <c r="AH103"/>
  <c r="AG103"/>
  <c r="AF103"/>
  <c r="AE103"/>
  <c r="AD103"/>
  <c r="AC103"/>
  <c r="AB103"/>
  <c r="AA103"/>
  <c r="Z103"/>
  <c r="Y103"/>
  <c r="X103"/>
  <c r="W103"/>
  <c r="R103"/>
  <c r="U103" s="1"/>
  <c r="AH102"/>
  <c r="AG102"/>
  <c r="AF102"/>
  <c r="AE102"/>
  <c r="AD102"/>
  <c r="AC102"/>
  <c r="AB102"/>
  <c r="AA102"/>
  <c r="Z102"/>
  <c r="Y102"/>
  <c r="X102"/>
  <c r="W102"/>
  <c r="R102"/>
  <c r="U102" s="1"/>
  <c r="AH101"/>
  <c r="AG101"/>
  <c r="AF101"/>
  <c r="AE101"/>
  <c r="AD101"/>
  <c r="AC101"/>
  <c r="AB101"/>
  <c r="AA101"/>
  <c r="Z101"/>
  <c r="Y101"/>
  <c r="X101"/>
  <c r="W101"/>
  <c r="R101"/>
  <c r="U101" s="1"/>
  <c r="AH100"/>
  <c r="AG100"/>
  <c r="AF100"/>
  <c r="AE100"/>
  <c r="AD100"/>
  <c r="AC100"/>
  <c r="AB100"/>
  <c r="AA100"/>
  <c r="Z100"/>
  <c r="Y100"/>
  <c r="X100"/>
  <c r="W100"/>
  <c r="R100"/>
  <c r="U100" s="1"/>
  <c r="AH99"/>
  <c r="AG99"/>
  <c r="AF99"/>
  <c r="AE99"/>
  <c r="AD99"/>
  <c r="AC99"/>
  <c r="AB99"/>
  <c r="AA99"/>
  <c r="Y99"/>
  <c r="W99"/>
  <c r="I99"/>
  <c r="G99"/>
  <c r="G109" s="1"/>
  <c r="AH98"/>
  <c r="AG98"/>
  <c r="AF98"/>
  <c r="AE98"/>
  <c r="AD98"/>
  <c r="AC98"/>
  <c r="AB98"/>
  <c r="AA98"/>
  <c r="Z98"/>
  <c r="Y98"/>
  <c r="X98"/>
  <c r="W98"/>
  <c r="R98"/>
  <c r="U98" s="1"/>
  <c r="AH97"/>
  <c r="AG97"/>
  <c r="AF97"/>
  <c r="AE97"/>
  <c r="AD97"/>
  <c r="AC97"/>
  <c r="AB97"/>
  <c r="AA97"/>
  <c r="Z97"/>
  <c r="Y97"/>
  <c r="X97"/>
  <c r="W97"/>
  <c r="R97"/>
  <c r="U97" s="1"/>
  <c r="AH96"/>
  <c r="AG96"/>
  <c r="AF96"/>
  <c r="AE96"/>
  <c r="AD96"/>
  <c r="AC96"/>
  <c r="AB96"/>
  <c r="AA96"/>
  <c r="Z96"/>
  <c r="Y96"/>
  <c r="X96"/>
  <c r="W96"/>
  <c r="R96"/>
  <c r="U96" s="1"/>
  <c r="AH95"/>
  <c r="AG95"/>
  <c r="AF95"/>
  <c r="AE95"/>
  <c r="AD95"/>
  <c r="AC95"/>
  <c r="AB95"/>
  <c r="AA95"/>
  <c r="Z95"/>
  <c r="Y95"/>
  <c r="X95"/>
  <c r="W95"/>
  <c r="R95"/>
  <c r="U95" s="1"/>
  <c r="AH94"/>
  <c r="AG94"/>
  <c r="AF94"/>
  <c r="AE94"/>
  <c r="AD94"/>
  <c r="AC94"/>
  <c r="AB94"/>
  <c r="AA94"/>
  <c r="Z94"/>
  <c r="Y94"/>
  <c r="X94"/>
  <c r="W94"/>
  <c r="R94"/>
  <c r="U94" s="1"/>
  <c r="AH93"/>
  <c r="AG93"/>
  <c r="AF93"/>
  <c r="AE93"/>
  <c r="AD93"/>
  <c r="AC93"/>
  <c r="AB93"/>
  <c r="AA93"/>
  <c r="Z93"/>
  <c r="Y93"/>
  <c r="X93"/>
  <c r="W93"/>
  <c r="R93"/>
  <c r="U93" s="1"/>
  <c r="AH92"/>
  <c r="AG92"/>
  <c r="AF92"/>
  <c r="AE92"/>
  <c r="AD92"/>
  <c r="AC92"/>
  <c r="AB92"/>
  <c r="AA92"/>
  <c r="Z92"/>
  <c r="Y92"/>
  <c r="X92"/>
  <c r="W92"/>
  <c r="R92"/>
  <c r="U92" s="1"/>
  <c r="AH91"/>
  <c r="AG91"/>
  <c r="AF91"/>
  <c r="AE91"/>
  <c r="AD91"/>
  <c r="AC91"/>
  <c r="AB91"/>
  <c r="AA91"/>
  <c r="Z91"/>
  <c r="Y91"/>
  <c r="X91"/>
  <c r="W91"/>
  <c r="R91"/>
  <c r="U91" s="1"/>
  <c r="AH90"/>
  <c r="AG90"/>
  <c r="AF90"/>
  <c r="AE90"/>
  <c r="AD90"/>
  <c r="AC90"/>
  <c r="AB90"/>
  <c r="AA90"/>
  <c r="Z90"/>
  <c r="Y90"/>
  <c r="X90"/>
  <c r="W90"/>
  <c r="R90"/>
  <c r="U90" s="1"/>
  <c r="AH89"/>
  <c r="AG89"/>
  <c r="AF89"/>
  <c r="AE89"/>
  <c r="AD89"/>
  <c r="AC89"/>
  <c r="AB89"/>
  <c r="AA89"/>
  <c r="Z89"/>
  <c r="Y89"/>
  <c r="X89"/>
  <c r="W89"/>
  <c r="R89"/>
  <c r="U89" s="1"/>
  <c r="AH88"/>
  <c r="AG88"/>
  <c r="AF88"/>
  <c r="AE88"/>
  <c r="AD88"/>
  <c r="AC88"/>
  <c r="AB88"/>
  <c r="AA88"/>
  <c r="Z88"/>
  <c r="Y88"/>
  <c r="X88"/>
  <c r="W88"/>
  <c r="R88"/>
  <c r="U88" s="1"/>
  <c r="AH87"/>
  <c r="AG87"/>
  <c r="AF87"/>
  <c r="AE87"/>
  <c r="AD87"/>
  <c r="AC87"/>
  <c r="AB87"/>
  <c r="AA87"/>
  <c r="Z87"/>
  <c r="Y87"/>
  <c r="X87"/>
  <c r="W87"/>
  <c r="R87"/>
  <c r="U87" s="1"/>
  <c r="AH86"/>
  <c r="AG86"/>
  <c r="AF86"/>
  <c r="AE86"/>
  <c r="AD86"/>
  <c r="AC86"/>
  <c r="AB86"/>
  <c r="AA86"/>
  <c r="Z86"/>
  <c r="Y86"/>
  <c r="X86"/>
  <c r="W86"/>
  <c r="R86"/>
  <c r="U86" s="1"/>
  <c r="AH85"/>
  <c r="AG85"/>
  <c r="AF85"/>
  <c r="R85"/>
  <c r="U85" s="1"/>
  <c r="AI84"/>
  <c r="R84"/>
  <c r="U84" s="1"/>
  <c r="AH83"/>
  <c r="AG83"/>
  <c r="AF83"/>
  <c r="AE83"/>
  <c r="AD83"/>
  <c r="AC83"/>
  <c r="AB83"/>
  <c r="AA83"/>
  <c r="Z83"/>
  <c r="Y83"/>
  <c r="X83"/>
  <c r="W83"/>
  <c r="R83"/>
  <c r="U83" s="1"/>
  <c r="AH82"/>
  <c r="AG82"/>
  <c r="AF82"/>
  <c r="AE82"/>
  <c r="AD82"/>
  <c r="AC82"/>
  <c r="AB82"/>
  <c r="AA82"/>
  <c r="Z82"/>
  <c r="Y82"/>
  <c r="X82"/>
  <c r="W82"/>
  <c r="R82"/>
  <c r="U82" s="1"/>
  <c r="AH81"/>
  <c r="AG81"/>
  <c r="AF81"/>
  <c r="AE81"/>
  <c r="AD81"/>
  <c r="AC81"/>
  <c r="AB81"/>
  <c r="AA81"/>
  <c r="Z81"/>
  <c r="Y81"/>
  <c r="X81"/>
  <c r="W81"/>
  <c r="R81"/>
  <c r="U81" s="1"/>
  <c r="AH80"/>
  <c r="AG80"/>
  <c r="AF80"/>
  <c r="AE80"/>
  <c r="AD80"/>
  <c r="AC80"/>
  <c r="AB80"/>
  <c r="AA80"/>
  <c r="Z80"/>
  <c r="Y80"/>
  <c r="X80"/>
  <c r="W80"/>
  <c r="R80"/>
  <c r="U80" s="1"/>
  <c r="AH79"/>
  <c r="AG79"/>
  <c r="AF79"/>
  <c r="AE79"/>
  <c r="AD79"/>
  <c r="AC79"/>
  <c r="AB79"/>
  <c r="AA79"/>
  <c r="Z79"/>
  <c r="Y79"/>
  <c r="X79"/>
  <c r="W79"/>
  <c r="R79"/>
  <c r="U79" s="1"/>
  <c r="AH78"/>
  <c r="AG78"/>
  <c r="AF78"/>
  <c r="AE78"/>
  <c r="AD78"/>
  <c r="AC78"/>
  <c r="AB78"/>
  <c r="AA78"/>
  <c r="Z78"/>
  <c r="Y78"/>
  <c r="X78"/>
  <c r="W78"/>
  <c r="R78"/>
  <c r="U78" s="1"/>
  <c r="AH77"/>
  <c r="AG77"/>
  <c r="AF77"/>
  <c r="AE77"/>
  <c r="AD77"/>
  <c r="AC77"/>
  <c r="AB77"/>
  <c r="AA77"/>
  <c r="Z77"/>
  <c r="Y77"/>
  <c r="X77"/>
  <c r="W77"/>
  <c r="R77"/>
  <c r="U77" s="1"/>
  <c r="AH76"/>
  <c r="AG76"/>
  <c r="AF76"/>
  <c r="AE76"/>
  <c r="AD76"/>
  <c r="AC76"/>
  <c r="AB76"/>
  <c r="AA76"/>
  <c r="Z76"/>
  <c r="Y76"/>
  <c r="X76"/>
  <c r="W76"/>
  <c r="R76"/>
  <c r="U76" s="1"/>
  <c r="AH75"/>
  <c r="AG75"/>
  <c r="AF75"/>
  <c r="AE75"/>
  <c r="AD75"/>
  <c r="AC75"/>
  <c r="AB75"/>
  <c r="AA75"/>
  <c r="Z75"/>
  <c r="Y75"/>
  <c r="X75"/>
  <c r="W75"/>
  <c r="R75"/>
  <c r="U75" s="1"/>
  <c r="AH74"/>
  <c r="AG74"/>
  <c r="AF74"/>
  <c r="AE74"/>
  <c r="AD74"/>
  <c r="AC74"/>
  <c r="AB74"/>
  <c r="AA74"/>
  <c r="Z74"/>
  <c r="Y74"/>
  <c r="X74"/>
  <c r="W74"/>
  <c r="R74"/>
  <c r="U74" s="1"/>
  <c r="AH73"/>
  <c r="AG73"/>
  <c r="AF73"/>
  <c r="AE73"/>
  <c r="AD73"/>
  <c r="AC73"/>
  <c r="AB73"/>
  <c r="AA73"/>
  <c r="Z73"/>
  <c r="Y73"/>
  <c r="X73"/>
  <c r="W73"/>
  <c r="R73"/>
  <c r="U73" s="1"/>
  <c r="AI72"/>
  <c r="P72"/>
  <c r="P109" s="1"/>
  <c r="N72"/>
  <c r="N109" s="1"/>
  <c r="L72"/>
  <c r="J72"/>
  <c r="J109" s="1"/>
  <c r="H72"/>
  <c r="F72"/>
  <c r="AI71"/>
  <c r="R71"/>
  <c r="U71" s="1"/>
  <c r="AH70"/>
  <c r="AG70"/>
  <c r="AF70"/>
  <c r="AE70"/>
  <c r="AD70"/>
  <c r="AC70"/>
  <c r="AB70"/>
  <c r="AA70"/>
  <c r="Z70"/>
  <c r="Y70"/>
  <c r="X70"/>
  <c r="W70"/>
  <c r="R70"/>
  <c r="U70" s="1"/>
  <c r="AI69"/>
  <c r="R69"/>
  <c r="U69" s="1"/>
  <c r="L68"/>
  <c r="L109" s="1"/>
  <c r="H68"/>
  <c r="AH67"/>
  <c r="AG67"/>
  <c r="AF67"/>
  <c r="AE67"/>
  <c r="AD67"/>
  <c r="AC67"/>
  <c r="AB67"/>
  <c r="AA67"/>
  <c r="Z67"/>
  <c r="Y67"/>
  <c r="X67"/>
  <c r="W67"/>
  <c r="H67"/>
  <c r="R67" s="1"/>
  <c r="U67" s="1"/>
  <c r="AH66"/>
  <c r="AG66"/>
  <c r="AF66"/>
  <c r="AE66"/>
  <c r="AD66"/>
  <c r="AC66"/>
  <c r="AB66"/>
  <c r="AA66"/>
  <c r="Z66"/>
  <c r="Y66"/>
  <c r="X66"/>
  <c r="W66"/>
  <c r="H66"/>
  <c r="S62"/>
  <c r="S126" s="1"/>
  <c r="Q62"/>
  <c r="Q126" s="1"/>
  <c r="O62"/>
  <c r="O126" s="1"/>
  <c r="M62"/>
  <c r="M126" s="1"/>
  <c r="K62"/>
  <c r="I62"/>
  <c r="G62"/>
  <c r="G126" s="1"/>
  <c r="AH61"/>
  <c r="AG61"/>
  <c r="AF61"/>
  <c r="AE61"/>
  <c r="AD61"/>
  <c r="AC61"/>
  <c r="AB61"/>
  <c r="AA61"/>
  <c r="Z61"/>
  <c r="Y61"/>
  <c r="X61"/>
  <c r="W61"/>
  <c r="R61"/>
  <c r="U61" s="1"/>
  <c r="AH60"/>
  <c r="AG60"/>
  <c r="AF60"/>
  <c r="AE60"/>
  <c r="AD60"/>
  <c r="AC60"/>
  <c r="AB60"/>
  <c r="AA60"/>
  <c r="Z60"/>
  <c r="Y60"/>
  <c r="X60"/>
  <c r="W60"/>
  <c r="R60"/>
  <c r="U60" s="1"/>
  <c r="AH59"/>
  <c r="AG59"/>
  <c r="AF59"/>
  <c r="AE59"/>
  <c r="AD59"/>
  <c r="AC59"/>
  <c r="AB59"/>
  <c r="AA59"/>
  <c r="Z59"/>
  <c r="Y59"/>
  <c r="X59"/>
  <c r="W59"/>
  <c r="R59"/>
  <c r="U59" s="1"/>
  <c r="AH58"/>
  <c r="AG58"/>
  <c r="AF58"/>
  <c r="AE58"/>
  <c r="AD58"/>
  <c r="AC58"/>
  <c r="AB58"/>
  <c r="AA58"/>
  <c r="Z58"/>
  <c r="Y58"/>
  <c r="X58"/>
  <c r="W58"/>
  <c r="R58"/>
  <c r="U58" s="1"/>
  <c r="AH57"/>
  <c r="AG57"/>
  <c r="AF57"/>
  <c r="AE57"/>
  <c r="AD57"/>
  <c r="AC57"/>
  <c r="AB57"/>
  <c r="AA57"/>
  <c r="Z57"/>
  <c r="Y57"/>
  <c r="X57"/>
  <c r="W57"/>
  <c r="R57"/>
  <c r="U57" s="1"/>
  <c r="AH56"/>
  <c r="AG56"/>
  <c r="AF56"/>
  <c r="AE56"/>
  <c r="AD56"/>
  <c r="AC56"/>
  <c r="AB56"/>
  <c r="AA56"/>
  <c r="Z56"/>
  <c r="Y56"/>
  <c r="X56"/>
  <c r="R56"/>
  <c r="U56" s="1"/>
  <c r="AH55"/>
  <c r="AG55"/>
  <c r="AF55"/>
  <c r="AE55"/>
  <c r="AD55"/>
  <c r="AC55"/>
  <c r="AB55"/>
  <c r="AA55"/>
  <c r="Z55"/>
  <c r="Y55"/>
  <c r="X55"/>
  <c r="W55"/>
  <c r="R55"/>
  <c r="U55" s="1"/>
  <c r="AH54"/>
  <c r="AG54"/>
  <c r="AF54"/>
  <c r="AE54"/>
  <c r="AD54"/>
  <c r="AC54"/>
  <c r="AB54"/>
  <c r="AA54"/>
  <c r="Z54"/>
  <c r="Y54"/>
  <c r="X54"/>
  <c r="W54"/>
  <c r="R54"/>
  <c r="U54" s="1"/>
  <c r="AH53"/>
  <c r="AG53"/>
  <c r="AF53"/>
  <c r="AE53"/>
  <c r="AD53"/>
  <c r="AC53"/>
  <c r="AB53"/>
  <c r="AA53"/>
  <c r="Z53"/>
  <c r="Y53"/>
  <c r="X53"/>
  <c r="W53"/>
  <c r="R53"/>
  <c r="U53" s="1"/>
  <c r="AI52"/>
  <c r="P52"/>
  <c r="P62" s="1"/>
  <c r="N52"/>
  <c r="N62" s="1"/>
  <c r="N126" s="1"/>
  <c r="L52"/>
  <c r="L62" s="1"/>
  <c r="J52"/>
  <c r="J62" s="1"/>
  <c r="H52"/>
  <c r="H62" s="1"/>
  <c r="F52"/>
  <c r="AI51"/>
  <c r="R51"/>
  <c r="U51" s="1"/>
  <c r="AI50"/>
  <c r="R50"/>
  <c r="U50" s="1"/>
  <c r="AI49"/>
  <c r="R49"/>
  <c r="U49" s="1"/>
  <c r="AH48"/>
  <c r="AG48"/>
  <c r="AF48"/>
  <c r="AE48"/>
  <c r="AD48"/>
  <c r="AC48"/>
  <c r="AB48"/>
  <c r="AA48"/>
  <c r="Z48"/>
  <c r="Y48"/>
  <c r="X48"/>
  <c r="W48"/>
  <c r="R48"/>
  <c r="AI42"/>
  <c r="M42"/>
  <c r="G42"/>
  <c r="AI41"/>
  <c r="R41"/>
  <c r="U41" s="1"/>
  <c r="AI40"/>
  <c r="R40"/>
  <c r="U40" s="1"/>
  <c r="U39"/>
  <c r="AH38"/>
  <c r="AH44" s="1"/>
  <c r="AG38"/>
  <c r="AG44" s="1"/>
  <c r="AF38"/>
  <c r="AF44" s="1"/>
  <c r="AE38"/>
  <c r="AE44" s="1"/>
  <c r="AD38"/>
  <c r="AD44" s="1"/>
  <c r="AC38"/>
  <c r="AC44" s="1"/>
  <c r="AB38"/>
  <c r="AB44" s="1"/>
  <c r="AA38"/>
  <c r="AA44" s="1"/>
  <c r="Z38"/>
  <c r="Z44" s="1"/>
  <c r="Y38"/>
  <c r="Y44" s="1"/>
  <c r="X38"/>
  <c r="X44" s="1"/>
  <c r="W38"/>
  <c r="W44" s="1"/>
  <c r="P38"/>
  <c r="L38"/>
  <c r="L44" s="1"/>
  <c r="K38"/>
  <c r="K44" s="1"/>
  <c r="J38"/>
  <c r="J44" s="1"/>
  <c r="I38"/>
  <c r="H38"/>
  <c r="H44" s="1"/>
  <c r="G38"/>
  <c r="F38"/>
  <c r="F44" s="1"/>
  <c r="S37"/>
  <c r="S38" s="1"/>
  <c r="S44" s="1"/>
  <c r="S128" s="1"/>
  <c r="S143" s="1"/>
  <c r="R37"/>
  <c r="C37"/>
  <c r="C38" s="1"/>
  <c r="AI36"/>
  <c r="R36"/>
  <c r="AI35"/>
  <c r="R35"/>
  <c r="O34"/>
  <c r="O38" s="1"/>
  <c r="AI33"/>
  <c r="R33"/>
  <c r="AI32"/>
  <c r="R32"/>
  <c r="R31"/>
  <c r="Q30"/>
  <c r="Q38" s="1"/>
  <c r="Q44" s="1"/>
  <c r="N30"/>
  <c r="N38" s="1"/>
  <c r="M30"/>
  <c r="M38" s="1"/>
  <c r="R29"/>
  <c r="U28"/>
  <c r="U27"/>
  <c r="R26"/>
  <c r="U26" s="1"/>
  <c r="R25"/>
  <c r="U25" s="1"/>
  <c r="U24"/>
  <c r="AI22"/>
  <c r="R22"/>
  <c r="U22" s="1"/>
  <c r="AI21"/>
  <c r="R21"/>
  <c r="U21" s="1"/>
  <c r="P20"/>
  <c r="AI19"/>
  <c r="R19"/>
  <c r="U19" s="1"/>
  <c r="O18"/>
  <c r="N18"/>
  <c r="I18"/>
  <c r="G18"/>
  <c r="G44" s="1"/>
  <c r="G128" s="1"/>
  <c r="G143" s="1"/>
  <c r="AI17"/>
  <c r="R17"/>
  <c r="U17" s="1"/>
  <c r="U16"/>
  <c r="U15"/>
  <c r="R15"/>
  <c r="M14"/>
  <c r="AI13"/>
  <c r="U13"/>
  <c r="R13"/>
  <c r="R12"/>
  <c r="U12" s="1"/>
  <c r="S38" i="8"/>
  <c r="S44" s="1"/>
  <c r="R42" i="9" l="1"/>
  <c r="U42" s="1"/>
  <c r="P44"/>
  <c r="W62"/>
  <c r="AA62"/>
  <c r="AE62"/>
  <c r="J126"/>
  <c r="J128" s="1"/>
  <c r="J143" s="1"/>
  <c r="H109"/>
  <c r="H126" s="1"/>
  <c r="H128" s="1"/>
  <c r="H143" s="1"/>
  <c r="AH109"/>
  <c r="I109"/>
  <c r="T143"/>
  <c r="I44"/>
  <c r="Z62"/>
  <c r="AD62"/>
  <c r="AH62"/>
  <c r="AH126" s="1"/>
  <c r="P126"/>
  <c r="Y109"/>
  <c r="AI78"/>
  <c r="AI91"/>
  <c r="I126"/>
  <c r="O44"/>
  <c r="O128" s="1"/>
  <c r="O143" s="1"/>
  <c r="Q128"/>
  <c r="Q143" s="1"/>
  <c r="L126"/>
  <c r="L128" s="1"/>
  <c r="L143" s="1"/>
  <c r="AI83"/>
  <c r="AI88"/>
  <c r="AH128" i="8"/>
  <c r="AH129"/>
  <c r="S39"/>
  <c r="AI58" i="9"/>
  <c r="W109"/>
  <c r="AA109"/>
  <c r="AA126" s="1"/>
  <c r="AA128" s="1"/>
  <c r="AA143" s="1"/>
  <c r="AE109"/>
  <c r="R72"/>
  <c r="U72" s="1"/>
  <c r="AI75"/>
  <c r="AI96"/>
  <c r="AI103"/>
  <c r="AI38"/>
  <c r="AI44" s="1"/>
  <c r="W126"/>
  <c r="W128" s="1"/>
  <c r="W143" s="1"/>
  <c r="AE126"/>
  <c r="AE128" s="1"/>
  <c r="AE143" s="1"/>
  <c r="AI61"/>
  <c r="R66"/>
  <c r="AI102"/>
  <c r="M44"/>
  <c r="M128" s="1"/>
  <c r="M143" s="1"/>
  <c r="N44"/>
  <c r="N128" s="1"/>
  <c r="N143" s="1"/>
  <c r="AH128"/>
  <c r="AH143" s="1"/>
  <c r="X62"/>
  <c r="AB62"/>
  <c r="AF62"/>
  <c r="AI53"/>
  <c r="AI56"/>
  <c r="AI57"/>
  <c r="K126"/>
  <c r="AI74"/>
  <c r="AI79"/>
  <c r="AI82"/>
  <c r="AI87"/>
  <c r="AI92"/>
  <c r="AI95"/>
  <c r="AI101"/>
  <c r="AI106"/>
  <c r="AB107"/>
  <c r="AB109" s="1"/>
  <c r="R141"/>
  <c r="AH135" i="8"/>
  <c r="R52" i="9"/>
  <c r="U52" s="1"/>
  <c r="AI55"/>
  <c r="AI59"/>
  <c r="AI70"/>
  <c r="AI73"/>
  <c r="AI76"/>
  <c r="AI81"/>
  <c r="AI85"/>
  <c r="AI86"/>
  <c r="AI89"/>
  <c r="AI94"/>
  <c r="AI97"/>
  <c r="AI100"/>
  <c r="K128"/>
  <c r="K143" s="1"/>
  <c r="AI105"/>
  <c r="AF107"/>
  <c r="AF109" s="1"/>
  <c r="AH133" i="8"/>
  <c r="AH151"/>
  <c r="U152"/>
  <c r="AH152" s="1"/>
  <c r="Y62" i="9"/>
  <c r="AC62"/>
  <c r="AG62"/>
  <c r="AI54"/>
  <c r="AI60"/>
  <c r="AC109"/>
  <c r="AG109"/>
  <c r="AI67"/>
  <c r="R68"/>
  <c r="U68" s="1"/>
  <c r="AI77"/>
  <c r="AI80"/>
  <c r="AI90"/>
  <c r="AI93"/>
  <c r="AI98"/>
  <c r="AI104"/>
  <c r="AD107"/>
  <c r="AD109" s="1"/>
  <c r="AD126" s="1"/>
  <c r="AD128" s="1"/>
  <c r="AD143" s="1"/>
  <c r="AI108"/>
  <c r="R14"/>
  <c r="U14" s="1"/>
  <c r="R18"/>
  <c r="U18" s="1"/>
  <c r="R20"/>
  <c r="U20" s="1"/>
  <c r="R34"/>
  <c r="U48"/>
  <c r="U62" s="1"/>
  <c r="F62"/>
  <c r="U66"/>
  <c r="X99"/>
  <c r="X109" s="1"/>
  <c r="Z99"/>
  <c r="Z109" s="1"/>
  <c r="Z126" s="1"/>
  <c r="Z128" s="1"/>
  <c r="Z143" s="1"/>
  <c r="R107"/>
  <c r="U107" s="1"/>
  <c r="F109"/>
  <c r="R30"/>
  <c r="R38" s="1"/>
  <c r="U38" s="1"/>
  <c r="AI48"/>
  <c r="AI66"/>
  <c r="R99"/>
  <c r="U99" s="1"/>
  <c r="U112"/>
  <c r="R113"/>
  <c r="U113" s="1"/>
  <c r="U54" i="8"/>
  <c r="V54"/>
  <c r="W54"/>
  <c r="X54"/>
  <c r="Y54"/>
  <c r="Z54"/>
  <c r="AA54"/>
  <c r="AB54"/>
  <c r="AC54"/>
  <c r="AD54"/>
  <c r="AE54"/>
  <c r="AF54"/>
  <c r="U55"/>
  <c r="V55"/>
  <c r="W55"/>
  <c r="X55"/>
  <c r="Y55"/>
  <c r="Z55"/>
  <c r="AA55"/>
  <c r="AB55"/>
  <c r="AC55"/>
  <c r="AD55"/>
  <c r="AE55"/>
  <c r="AF55"/>
  <c r="V56"/>
  <c r="W56"/>
  <c r="X56"/>
  <c r="Y56"/>
  <c r="Z56"/>
  <c r="AA56"/>
  <c r="AB56"/>
  <c r="AC56"/>
  <c r="AD56"/>
  <c r="AE56"/>
  <c r="AF56"/>
  <c r="U57"/>
  <c r="V57"/>
  <c r="W57"/>
  <c r="X57"/>
  <c r="Y57"/>
  <c r="Z57"/>
  <c r="AA57"/>
  <c r="AB57"/>
  <c r="AC57"/>
  <c r="AD57"/>
  <c r="AE57"/>
  <c r="AF57"/>
  <c r="U58"/>
  <c r="V58"/>
  <c r="W58"/>
  <c r="X58"/>
  <c r="Y58"/>
  <c r="Z58"/>
  <c r="AA58"/>
  <c r="AB58"/>
  <c r="AC58"/>
  <c r="AD58"/>
  <c r="AE58"/>
  <c r="AF58"/>
  <c r="U59"/>
  <c r="V59"/>
  <c r="W59"/>
  <c r="X59"/>
  <c r="Y59"/>
  <c r="Z59"/>
  <c r="AA59"/>
  <c r="AB59"/>
  <c r="AC59"/>
  <c r="AD59"/>
  <c r="AE59"/>
  <c r="AF59"/>
  <c r="U60"/>
  <c r="V60"/>
  <c r="W60"/>
  <c r="X60"/>
  <c r="Y60"/>
  <c r="Z60"/>
  <c r="AA60"/>
  <c r="AB60"/>
  <c r="AC60"/>
  <c r="AD60"/>
  <c r="AE60"/>
  <c r="AF60"/>
  <c r="U61"/>
  <c r="V61"/>
  <c r="W61"/>
  <c r="X61"/>
  <c r="Y61"/>
  <c r="Z61"/>
  <c r="AA61"/>
  <c r="AB61"/>
  <c r="AC61"/>
  <c r="AD61"/>
  <c r="AE61"/>
  <c r="AF61"/>
  <c r="AF53"/>
  <c r="AE53"/>
  <c r="AD53"/>
  <c r="AC53"/>
  <c r="AB53"/>
  <c r="AA53"/>
  <c r="Z53"/>
  <c r="Y53"/>
  <c r="X53"/>
  <c r="W53"/>
  <c r="V53"/>
  <c r="U53"/>
  <c r="U74"/>
  <c r="V74"/>
  <c r="W74"/>
  <c r="X74"/>
  <c r="Y74"/>
  <c r="Z74"/>
  <c r="AA74"/>
  <c r="AB74"/>
  <c r="AC74"/>
  <c r="AD74"/>
  <c r="AE74"/>
  <c r="AF74"/>
  <c r="U75"/>
  <c r="V75"/>
  <c r="W75"/>
  <c r="X75"/>
  <c r="Y75"/>
  <c r="Z75"/>
  <c r="AA75"/>
  <c r="AB75"/>
  <c r="AC75"/>
  <c r="AD75"/>
  <c r="AE75"/>
  <c r="AF75"/>
  <c r="U76"/>
  <c r="V76"/>
  <c r="W76"/>
  <c r="X76"/>
  <c r="Y76"/>
  <c r="Z76"/>
  <c r="AA76"/>
  <c r="AB76"/>
  <c r="AC76"/>
  <c r="AD76"/>
  <c r="AE76"/>
  <c r="AF76"/>
  <c r="U77"/>
  <c r="V77"/>
  <c r="W77"/>
  <c r="X77"/>
  <c r="Y77"/>
  <c r="Z77"/>
  <c r="AA77"/>
  <c r="AB77"/>
  <c r="AC77"/>
  <c r="AD77"/>
  <c r="AE77"/>
  <c r="AF77"/>
  <c r="U78"/>
  <c r="V78"/>
  <c r="W78"/>
  <c r="X78"/>
  <c r="Y78"/>
  <c r="Z78"/>
  <c r="AA78"/>
  <c r="AB78"/>
  <c r="AC78"/>
  <c r="AD78"/>
  <c r="AE78"/>
  <c r="AF78"/>
  <c r="U79"/>
  <c r="V79"/>
  <c r="W79"/>
  <c r="X79"/>
  <c r="Y79"/>
  <c r="Z79"/>
  <c r="AA79"/>
  <c r="AB79"/>
  <c r="AC79"/>
  <c r="AD79"/>
  <c r="AE79"/>
  <c r="AF79"/>
  <c r="U80"/>
  <c r="V80"/>
  <c r="W80"/>
  <c r="X80"/>
  <c r="Y80"/>
  <c r="Z80"/>
  <c r="AA80"/>
  <c r="AB80"/>
  <c r="AC80"/>
  <c r="AD80"/>
  <c r="AE80"/>
  <c r="AF80"/>
  <c r="U81"/>
  <c r="V81"/>
  <c r="W81"/>
  <c r="X81"/>
  <c r="Y81"/>
  <c r="Z81"/>
  <c r="AA81"/>
  <c r="AB81"/>
  <c r="AC81"/>
  <c r="AD81"/>
  <c r="AE81"/>
  <c r="AF81"/>
  <c r="U82"/>
  <c r="V82"/>
  <c r="W82"/>
  <c r="X82"/>
  <c r="Y82"/>
  <c r="Z82"/>
  <c r="AA82"/>
  <c r="AB82"/>
  <c r="AC82"/>
  <c r="AD82"/>
  <c r="AE82"/>
  <c r="AF82"/>
  <c r="U83"/>
  <c r="V83"/>
  <c r="W83"/>
  <c r="X83"/>
  <c r="Y83"/>
  <c r="Z83"/>
  <c r="AA83"/>
  <c r="AB83"/>
  <c r="AC83"/>
  <c r="AD83"/>
  <c r="AE83"/>
  <c r="AF83"/>
  <c r="AD85"/>
  <c r="AH85" s="1"/>
  <c r="AE85"/>
  <c r="AF85"/>
  <c r="U86"/>
  <c r="V86"/>
  <c r="W86"/>
  <c r="X86"/>
  <c r="Y86"/>
  <c r="Z86"/>
  <c r="AA86"/>
  <c r="AB86"/>
  <c r="AC86"/>
  <c r="AD86"/>
  <c r="AE86"/>
  <c r="AF86"/>
  <c r="U87"/>
  <c r="V87"/>
  <c r="W87"/>
  <c r="X87"/>
  <c r="Y87"/>
  <c r="Z87"/>
  <c r="AA87"/>
  <c r="AB87"/>
  <c r="AC87"/>
  <c r="AD87"/>
  <c r="AE87"/>
  <c r="AF87"/>
  <c r="U88"/>
  <c r="V88"/>
  <c r="W88"/>
  <c r="X88"/>
  <c r="Y88"/>
  <c r="Z88"/>
  <c r="AA88"/>
  <c r="AB88"/>
  <c r="AC88"/>
  <c r="AD88"/>
  <c r="AE88"/>
  <c r="AF88"/>
  <c r="U89"/>
  <c r="V89"/>
  <c r="W89"/>
  <c r="X89"/>
  <c r="Y89"/>
  <c r="Z89"/>
  <c r="AA89"/>
  <c r="AB89"/>
  <c r="AC89"/>
  <c r="AD89"/>
  <c r="AE89"/>
  <c r="AF89"/>
  <c r="U90"/>
  <c r="V90"/>
  <c r="W90"/>
  <c r="X90"/>
  <c r="Y90"/>
  <c r="Z90"/>
  <c r="AA90"/>
  <c r="AB90"/>
  <c r="AC90"/>
  <c r="AD90"/>
  <c r="AE90"/>
  <c r="AF90"/>
  <c r="U91"/>
  <c r="V91"/>
  <c r="W91"/>
  <c r="X91"/>
  <c r="Y91"/>
  <c r="Z91"/>
  <c r="AA91"/>
  <c r="AB91"/>
  <c r="AC91"/>
  <c r="AD91"/>
  <c r="AE91"/>
  <c r="AF91"/>
  <c r="U92"/>
  <c r="V92"/>
  <c r="W92"/>
  <c r="X92"/>
  <c r="Y92"/>
  <c r="Z92"/>
  <c r="AA92"/>
  <c r="AB92"/>
  <c r="AC92"/>
  <c r="AD92"/>
  <c r="AE92"/>
  <c r="AF92"/>
  <c r="U93"/>
  <c r="V93"/>
  <c r="W93"/>
  <c r="X93"/>
  <c r="Y93"/>
  <c r="Z93"/>
  <c r="AA93"/>
  <c r="AB93"/>
  <c r="AC93"/>
  <c r="AD93"/>
  <c r="AE93"/>
  <c r="AF93"/>
  <c r="U94"/>
  <c r="V94"/>
  <c r="W94"/>
  <c r="X94"/>
  <c r="Y94"/>
  <c r="Z94"/>
  <c r="AA94"/>
  <c r="AB94"/>
  <c r="AC94"/>
  <c r="AD94"/>
  <c r="AE94"/>
  <c r="AF94"/>
  <c r="U95"/>
  <c r="V95"/>
  <c r="W95"/>
  <c r="X95"/>
  <c r="Y95"/>
  <c r="Z95"/>
  <c r="AA95"/>
  <c r="AB95"/>
  <c r="AC95"/>
  <c r="AD95"/>
  <c r="AE95"/>
  <c r="AF95"/>
  <c r="U96"/>
  <c r="V96"/>
  <c r="W96"/>
  <c r="X96"/>
  <c r="Y96"/>
  <c r="Z96"/>
  <c r="AA96"/>
  <c r="AB96"/>
  <c r="AC96"/>
  <c r="AD96"/>
  <c r="AE96"/>
  <c r="AF96"/>
  <c r="U97"/>
  <c r="V97"/>
  <c r="W97"/>
  <c r="X97"/>
  <c r="Y97"/>
  <c r="Z97"/>
  <c r="AA97"/>
  <c r="AB97"/>
  <c r="AC97"/>
  <c r="AD97"/>
  <c r="AE97"/>
  <c r="AF97"/>
  <c r="U98"/>
  <c r="V98"/>
  <c r="W98"/>
  <c r="X98"/>
  <c r="Y98"/>
  <c r="Z98"/>
  <c r="AA98"/>
  <c r="AB98"/>
  <c r="AC98"/>
  <c r="AD98"/>
  <c r="AE98"/>
  <c r="AF98"/>
  <c r="U99"/>
  <c r="W99"/>
  <c r="Y99"/>
  <c r="Z99"/>
  <c r="AA99"/>
  <c r="AB99"/>
  <c r="AC99"/>
  <c r="AD99"/>
  <c r="AE99"/>
  <c r="AF99"/>
  <c r="U100"/>
  <c r="V100"/>
  <c r="W100"/>
  <c r="X100"/>
  <c r="Y100"/>
  <c r="Z100"/>
  <c r="AA100"/>
  <c r="AB100"/>
  <c r="AC100"/>
  <c r="AD100"/>
  <c r="AE100"/>
  <c r="AF100"/>
  <c r="U101"/>
  <c r="V101"/>
  <c r="W101"/>
  <c r="X101"/>
  <c r="Y101"/>
  <c r="Z101"/>
  <c r="AA101"/>
  <c r="AB101"/>
  <c r="AC101"/>
  <c r="AD101"/>
  <c r="AE101"/>
  <c r="AF101"/>
  <c r="U102"/>
  <c r="V102"/>
  <c r="W102"/>
  <c r="X102"/>
  <c r="Y102"/>
  <c r="Z102"/>
  <c r="AA102"/>
  <c r="AB102"/>
  <c r="AC102"/>
  <c r="AD102"/>
  <c r="AE102"/>
  <c r="AF102"/>
  <c r="U103"/>
  <c r="V103"/>
  <c r="W103"/>
  <c r="X103"/>
  <c r="Y103"/>
  <c r="Z103"/>
  <c r="AA103"/>
  <c r="AB103"/>
  <c r="AC103"/>
  <c r="AD103"/>
  <c r="AE103"/>
  <c r="AF103"/>
  <c r="U104"/>
  <c r="V104"/>
  <c r="W104"/>
  <c r="X104"/>
  <c r="Y104"/>
  <c r="Z104"/>
  <c r="AA104"/>
  <c r="AB104"/>
  <c r="AC104"/>
  <c r="AD104"/>
  <c r="AE104"/>
  <c r="AF104"/>
  <c r="U105"/>
  <c r="V105"/>
  <c r="W105"/>
  <c r="X105"/>
  <c r="Y105"/>
  <c r="Z105"/>
  <c r="AA105"/>
  <c r="AB105"/>
  <c r="AC105"/>
  <c r="AD105"/>
  <c r="AE105"/>
  <c r="AF105"/>
  <c r="U106"/>
  <c r="V106"/>
  <c r="W106"/>
  <c r="X106"/>
  <c r="Y106"/>
  <c r="Z106"/>
  <c r="AA106"/>
  <c r="AB106"/>
  <c r="AC106"/>
  <c r="AD106"/>
  <c r="AE106"/>
  <c r="AF106"/>
  <c r="U107"/>
  <c r="V107"/>
  <c r="AF107"/>
  <c r="U108"/>
  <c r="V108"/>
  <c r="W108"/>
  <c r="X108"/>
  <c r="Y108"/>
  <c r="Z108"/>
  <c r="AA108"/>
  <c r="AB108"/>
  <c r="AC108"/>
  <c r="AD108"/>
  <c r="AE108"/>
  <c r="AF108"/>
  <c r="AF73"/>
  <c r="AE73"/>
  <c r="AD73"/>
  <c r="AC73"/>
  <c r="AB73"/>
  <c r="AA73"/>
  <c r="Z73"/>
  <c r="Y73"/>
  <c r="X73"/>
  <c r="W73"/>
  <c r="V73"/>
  <c r="U73"/>
  <c r="V70"/>
  <c r="W70"/>
  <c r="X70"/>
  <c r="Y70"/>
  <c r="Z70"/>
  <c r="AA70"/>
  <c r="AB70"/>
  <c r="AC70"/>
  <c r="AD70"/>
  <c r="AE70"/>
  <c r="AF70"/>
  <c r="U70"/>
  <c r="Y67"/>
  <c r="V67"/>
  <c r="W67"/>
  <c r="X67"/>
  <c r="Z67"/>
  <c r="AA67"/>
  <c r="AB67"/>
  <c r="AC67"/>
  <c r="AD67"/>
  <c r="AE67"/>
  <c r="AF67"/>
  <c r="U67"/>
  <c r="AF66"/>
  <c r="AE66"/>
  <c r="AD66"/>
  <c r="AC66"/>
  <c r="AB66"/>
  <c r="AA66"/>
  <c r="Z66"/>
  <c r="Y66"/>
  <c r="X66"/>
  <c r="W66"/>
  <c r="V66"/>
  <c r="U66"/>
  <c r="P128" i="9" l="1"/>
  <c r="P143" s="1"/>
  <c r="I128"/>
  <c r="I143" s="1"/>
  <c r="X126"/>
  <c r="X128" s="1"/>
  <c r="X143" s="1"/>
  <c r="Y126"/>
  <c r="Y128" s="1"/>
  <c r="Y143" s="1"/>
  <c r="AH66" i="8"/>
  <c r="AI107" i="9"/>
  <c r="AI62"/>
  <c r="R62"/>
  <c r="AH67" i="8"/>
  <c r="AH70"/>
  <c r="AH73"/>
  <c r="AH98"/>
  <c r="AH97"/>
  <c r="AH96"/>
  <c r="AH95"/>
  <c r="AH94"/>
  <c r="AH93"/>
  <c r="AH92"/>
  <c r="AH91"/>
  <c r="AH90"/>
  <c r="AH89"/>
  <c r="AH88"/>
  <c r="AH87"/>
  <c r="AH86"/>
  <c r="AH53"/>
  <c r="AC126" i="9"/>
  <c r="AC128" s="1"/>
  <c r="AC143" s="1"/>
  <c r="AB126"/>
  <c r="AB128" s="1"/>
  <c r="AB143" s="1"/>
  <c r="AH108" i="8"/>
  <c r="AH83"/>
  <c r="AH82"/>
  <c r="AH81"/>
  <c r="AH80"/>
  <c r="AH79"/>
  <c r="AH78"/>
  <c r="AH77"/>
  <c r="AH76"/>
  <c r="AH75"/>
  <c r="AH74"/>
  <c r="AH61"/>
  <c r="AH60"/>
  <c r="AH59"/>
  <c r="AH58"/>
  <c r="AH57"/>
  <c r="AG126" i="9"/>
  <c r="AG128" s="1"/>
  <c r="AG143" s="1"/>
  <c r="AF126"/>
  <c r="AF128" s="1"/>
  <c r="AF143" s="1"/>
  <c r="AH106" i="8"/>
  <c r="AH105"/>
  <c r="AH104"/>
  <c r="AH103"/>
  <c r="AH102"/>
  <c r="AH101"/>
  <c r="AH100"/>
  <c r="AH56"/>
  <c r="AH55"/>
  <c r="AH54"/>
  <c r="U44" i="9"/>
  <c r="U109"/>
  <c r="AI99"/>
  <c r="R109"/>
  <c r="R44"/>
  <c r="U125"/>
  <c r="AI109"/>
  <c r="F126"/>
  <c r="F128" s="1"/>
  <c r="F143" s="1"/>
  <c r="R125"/>
  <c r="AF144" i="8"/>
  <c r="AE144"/>
  <c r="AD144"/>
  <c r="AC144"/>
  <c r="AB144"/>
  <c r="AA144"/>
  <c r="Z144"/>
  <c r="Y144"/>
  <c r="X144"/>
  <c r="W144"/>
  <c r="V144"/>
  <c r="U144"/>
  <c r="AG144"/>
  <c r="AG118"/>
  <c r="AI118" s="1"/>
  <c r="AF109"/>
  <c r="AG108"/>
  <c r="AI108" s="1"/>
  <c r="AG106"/>
  <c r="AI106" s="1"/>
  <c r="AG105"/>
  <c r="AI105" s="1"/>
  <c r="AG104"/>
  <c r="AI104" s="1"/>
  <c r="AG103"/>
  <c r="AI103" s="1"/>
  <c r="AG102"/>
  <c r="AI102" s="1"/>
  <c r="AG101"/>
  <c r="AI101" s="1"/>
  <c r="AG100"/>
  <c r="AI100" s="1"/>
  <c r="AG98"/>
  <c r="AI98" s="1"/>
  <c r="AG97"/>
  <c r="AI97" s="1"/>
  <c r="AG96"/>
  <c r="AI96" s="1"/>
  <c r="AG95"/>
  <c r="AI95" s="1"/>
  <c r="AG94"/>
  <c r="AI94" s="1"/>
  <c r="AG93"/>
  <c r="AI93" s="1"/>
  <c r="AG92"/>
  <c r="AI92" s="1"/>
  <c r="AG91"/>
  <c r="AI91" s="1"/>
  <c r="AG90"/>
  <c r="AI90" s="1"/>
  <c r="AG89"/>
  <c r="AI89" s="1"/>
  <c r="AG88"/>
  <c r="AI88" s="1"/>
  <c r="AG87"/>
  <c r="AI87" s="1"/>
  <c r="AG86"/>
  <c r="AI86" s="1"/>
  <c r="AG85"/>
  <c r="AI85" s="1"/>
  <c r="AG84"/>
  <c r="AI84" s="1"/>
  <c r="AG83"/>
  <c r="AI83" s="1"/>
  <c r="AG82"/>
  <c r="AI82" s="1"/>
  <c r="AG81"/>
  <c r="AI81" s="1"/>
  <c r="AG80"/>
  <c r="AI80" s="1"/>
  <c r="AG79"/>
  <c r="AI79" s="1"/>
  <c r="AG78"/>
  <c r="AI78" s="1"/>
  <c r="AG77"/>
  <c r="AI77" s="1"/>
  <c r="AG76"/>
  <c r="AI76" s="1"/>
  <c r="AG75"/>
  <c r="AI75" s="1"/>
  <c r="AG74"/>
  <c r="AI74" s="1"/>
  <c r="AG73"/>
  <c r="AI73" s="1"/>
  <c r="AG72"/>
  <c r="AI72" s="1"/>
  <c r="AG71"/>
  <c r="AI71" s="1"/>
  <c r="AG70"/>
  <c r="AI70" s="1"/>
  <c r="AG69"/>
  <c r="AI69" s="1"/>
  <c r="AG67"/>
  <c r="AI67" s="1"/>
  <c r="AF62"/>
  <c r="AF123" s="1"/>
  <c r="AF125" s="1"/>
  <c r="AD62"/>
  <c r="AB62"/>
  <c r="Z62"/>
  <c r="X62"/>
  <c r="V62"/>
  <c r="AG61"/>
  <c r="AI61" s="1"/>
  <c r="AG60"/>
  <c r="AI60" s="1"/>
  <c r="AG59"/>
  <c r="AI59" s="1"/>
  <c r="AG58"/>
  <c r="AI58" s="1"/>
  <c r="AG57"/>
  <c r="AI57" s="1"/>
  <c r="AG56"/>
  <c r="AI56" s="1"/>
  <c r="AG55"/>
  <c r="AI55" s="1"/>
  <c r="AG54"/>
  <c r="AI54" s="1"/>
  <c r="AG53"/>
  <c r="AI53" s="1"/>
  <c r="AE62"/>
  <c r="AC62"/>
  <c r="AA62"/>
  <c r="Y62"/>
  <c r="W62"/>
  <c r="U62"/>
  <c r="AG51"/>
  <c r="AI51" s="1"/>
  <c r="AG50"/>
  <c r="AI50" s="1"/>
  <c r="AG49"/>
  <c r="AI49" s="1"/>
  <c r="AG48"/>
  <c r="AI48" s="1"/>
  <c r="C38"/>
  <c r="P107"/>
  <c r="AE107" s="1"/>
  <c r="AE109" s="1"/>
  <c r="O107"/>
  <c r="AD107" s="1"/>
  <c r="AD109" s="1"/>
  <c r="N107"/>
  <c r="AC107" s="1"/>
  <c r="AC109" s="1"/>
  <c r="M107"/>
  <c r="AB107" s="1"/>
  <c r="AB109" s="1"/>
  <c r="L107"/>
  <c r="AA107" s="1"/>
  <c r="AA109" s="1"/>
  <c r="K107"/>
  <c r="Z107" s="1"/>
  <c r="Z109" s="1"/>
  <c r="J107"/>
  <c r="Y107" s="1"/>
  <c r="Y109" s="1"/>
  <c r="I107"/>
  <c r="X107" s="1"/>
  <c r="H107"/>
  <c r="W107" s="1"/>
  <c r="W109" s="1"/>
  <c r="C125"/>
  <c r="R140"/>
  <c r="R141"/>
  <c r="R131"/>
  <c r="R132"/>
  <c r="R133"/>
  <c r="R136"/>
  <c r="R142"/>
  <c r="R139"/>
  <c r="R128"/>
  <c r="G144"/>
  <c r="H144"/>
  <c r="I144"/>
  <c r="J144"/>
  <c r="K144"/>
  <c r="L144"/>
  <c r="M144"/>
  <c r="N144"/>
  <c r="O144"/>
  <c r="P144"/>
  <c r="Q144"/>
  <c r="S144"/>
  <c r="F144"/>
  <c r="C144"/>
  <c r="C157" s="1"/>
  <c r="Q30"/>
  <c r="Q39" s="1"/>
  <c r="R108"/>
  <c r="P72"/>
  <c r="P52"/>
  <c r="P21"/>
  <c r="AI126" i="9" l="1"/>
  <c r="AI128" s="1"/>
  <c r="AI143" s="1"/>
  <c r="AH62" i="8"/>
  <c r="V146"/>
  <c r="V154" s="1"/>
  <c r="V145"/>
  <c r="Z145"/>
  <c r="Z146" s="1"/>
  <c r="Z154" s="1"/>
  <c r="AD146"/>
  <c r="AD154" s="1"/>
  <c r="AD145"/>
  <c r="U145"/>
  <c r="AH144"/>
  <c r="Y145"/>
  <c r="Y146" s="1"/>
  <c r="Y154" s="1"/>
  <c r="AC145"/>
  <c r="AC146" s="1"/>
  <c r="AC154" s="1"/>
  <c r="X145"/>
  <c r="X146"/>
  <c r="X154" s="1"/>
  <c r="AB145"/>
  <c r="AB146" s="1"/>
  <c r="AB154" s="1"/>
  <c r="AF145"/>
  <c r="AF146" s="1"/>
  <c r="AF154" s="1"/>
  <c r="AF157" s="1"/>
  <c r="U126" i="9"/>
  <c r="U128" s="1"/>
  <c r="U143" s="1"/>
  <c r="AH107" i="8"/>
  <c r="W145"/>
  <c r="W146" s="1"/>
  <c r="W154" s="1"/>
  <c r="AA145"/>
  <c r="AA146" s="1"/>
  <c r="AA154" s="1"/>
  <c r="AE145"/>
  <c r="AE146" s="1"/>
  <c r="AE154" s="1"/>
  <c r="AI144"/>
  <c r="AG146"/>
  <c r="R126" i="9"/>
  <c r="R128" s="1"/>
  <c r="R143" s="1"/>
  <c r="AA123" i="8"/>
  <c r="AA125" s="1"/>
  <c r="Y123"/>
  <c r="Y125" s="1"/>
  <c r="AE123"/>
  <c r="AE125" s="1"/>
  <c r="AC123"/>
  <c r="AC125" s="1"/>
  <c r="AB123"/>
  <c r="AG107"/>
  <c r="AI107" s="1"/>
  <c r="Z123"/>
  <c r="Z125" s="1"/>
  <c r="AD123"/>
  <c r="AD125" s="1"/>
  <c r="AD157" s="1"/>
  <c r="AG52"/>
  <c r="AI52" s="1"/>
  <c r="AG66"/>
  <c r="AI66" s="1"/>
  <c r="U109"/>
  <c r="R144"/>
  <c r="Y157" l="1"/>
  <c r="Z157"/>
  <c r="AH145"/>
  <c r="AA157"/>
  <c r="U146"/>
  <c r="AC157"/>
  <c r="AE157"/>
  <c r="AI146"/>
  <c r="AG154"/>
  <c r="AB125"/>
  <c r="AB157" s="1"/>
  <c r="AG62"/>
  <c r="AI62" s="1"/>
  <c r="U154" l="1"/>
  <c r="AH154" s="1"/>
  <c r="AH146"/>
  <c r="R38"/>
  <c r="R37"/>
  <c r="R36"/>
  <c r="R33"/>
  <c r="R32"/>
  <c r="R31"/>
  <c r="C39"/>
  <c r="G39"/>
  <c r="H39"/>
  <c r="H44" s="1"/>
  <c r="I39"/>
  <c r="J39"/>
  <c r="J44" s="1"/>
  <c r="K39"/>
  <c r="K44" s="1"/>
  <c r="L39"/>
  <c r="L44" s="1"/>
  <c r="P39"/>
  <c r="P44" s="1"/>
  <c r="Q44"/>
  <c r="F39"/>
  <c r="F44" s="1"/>
  <c r="N30"/>
  <c r="N39" s="1"/>
  <c r="M30"/>
  <c r="M39" s="1"/>
  <c r="G19"/>
  <c r="O19"/>
  <c r="N19"/>
  <c r="I99"/>
  <c r="X99" s="1"/>
  <c r="X109" s="1"/>
  <c r="X123" s="1"/>
  <c r="O34"/>
  <c r="O39" s="1"/>
  <c r="N44" l="1"/>
  <c r="O44"/>
  <c r="R30"/>
  <c r="R34"/>
  <c r="N72"/>
  <c r="N52"/>
  <c r="M122"/>
  <c r="M109"/>
  <c r="M62"/>
  <c r="M41"/>
  <c r="M44" s="1"/>
  <c r="M123" l="1"/>
  <c r="M125" s="1"/>
  <c r="M157" s="1"/>
  <c r="G41"/>
  <c r="G99"/>
  <c r="V99" s="1"/>
  <c r="AH99" s="1"/>
  <c r="I19"/>
  <c r="L113"/>
  <c r="L72"/>
  <c r="L68"/>
  <c r="L52"/>
  <c r="K113"/>
  <c r="R107"/>
  <c r="R121"/>
  <c r="J72"/>
  <c r="J52"/>
  <c r="I113"/>
  <c r="V109" l="1"/>
  <c r="AH109" s="1"/>
  <c r="AH123" s="1"/>
  <c r="AG99"/>
  <c r="AI99" s="1"/>
  <c r="I44"/>
  <c r="R41"/>
  <c r="G44"/>
  <c r="H113"/>
  <c r="H72"/>
  <c r="H68"/>
  <c r="H67"/>
  <c r="H66"/>
  <c r="H52"/>
  <c r="G113"/>
  <c r="F72"/>
  <c r="R56"/>
  <c r="F113"/>
  <c r="F52"/>
  <c r="AG109" l="1"/>
  <c r="AI109" s="1"/>
  <c r="R59"/>
  <c r="S122" l="1"/>
  <c r="L122"/>
  <c r="R120"/>
  <c r="R118"/>
  <c r="R117"/>
  <c r="R116"/>
  <c r="P122"/>
  <c r="O122"/>
  <c r="K122"/>
  <c r="J122"/>
  <c r="I122"/>
  <c r="H122"/>
  <c r="G122"/>
  <c r="F122"/>
  <c r="R115"/>
  <c r="R114"/>
  <c r="R112"/>
  <c r="S109"/>
  <c r="Q109"/>
  <c r="O109"/>
  <c r="I109"/>
  <c r="G109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5"/>
  <c r="R84"/>
  <c r="R83"/>
  <c r="R82"/>
  <c r="R81"/>
  <c r="R80"/>
  <c r="R79"/>
  <c r="R78"/>
  <c r="R77"/>
  <c r="R76"/>
  <c r="R75"/>
  <c r="R74"/>
  <c r="R73"/>
  <c r="R71"/>
  <c r="R70"/>
  <c r="R69"/>
  <c r="R68"/>
  <c r="R67"/>
  <c r="R66"/>
  <c r="S62"/>
  <c r="O62"/>
  <c r="K62"/>
  <c r="I62"/>
  <c r="I123" s="1"/>
  <c r="I125" s="1"/>
  <c r="I157" s="1"/>
  <c r="G62"/>
  <c r="R61"/>
  <c r="R60"/>
  <c r="R57"/>
  <c r="R55"/>
  <c r="R54"/>
  <c r="R53"/>
  <c r="R51"/>
  <c r="R50"/>
  <c r="R49"/>
  <c r="R48"/>
  <c r="R29"/>
  <c r="R23"/>
  <c r="R22"/>
  <c r="R21"/>
  <c r="R20"/>
  <c r="R18"/>
  <c r="R16"/>
  <c r="R12"/>
  <c r="G123" l="1"/>
  <c r="G125" s="1"/>
  <c r="G157" s="1"/>
  <c r="S123"/>
  <c r="S125" s="1"/>
  <c r="S157" s="1"/>
  <c r="O123"/>
  <c r="O125" s="1"/>
  <c r="O157" s="1"/>
  <c r="R39"/>
  <c r="F62"/>
  <c r="H62"/>
  <c r="J62"/>
  <c r="L62"/>
  <c r="N62"/>
  <c r="P62"/>
  <c r="R58"/>
  <c r="F109"/>
  <c r="H109"/>
  <c r="J109"/>
  <c r="L109"/>
  <c r="N109"/>
  <c r="P109"/>
  <c r="K109"/>
  <c r="K123" s="1"/>
  <c r="K125" s="1"/>
  <c r="K157" s="1"/>
  <c r="R87"/>
  <c r="R88"/>
  <c r="N122"/>
  <c r="R119"/>
  <c r="R19"/>
  <c r="R44" s="1"/>
  <c r="R52"/>
  <c r="R72"/>
  <c r="R86"/>
  <c r="R113"/>
  <c r="P123" l="1"/>
  <c r="P125" s="1"/>
  <c r="P157" s="1"/>
  <c r="N123"/>
  <c r="N125" s="1"/>
  <c r="N157" s="1"/>
  <c r="L123"/>
  <c r="L125" s="1"/>
  <c r="L157" s="1"/>
  <c r="J123"/>
  <c r="J125" s="1"/>
  <c r="J157" s="1"/>
  <c r="H123"/>
  <c r="H125" s="1"/>
  <c r="H157" s="1"/>
  <c r="F123"/>
  <c r="F125" s="1"/>
  <c r="F157" s="1"/>
  <c r="R62"/>
  <c r="Q62"/>
  <c r="R122"/>
  <c r="Q122"/>
  <c r="R109"/>
  <c r="R123" l="1"/>
  <c r="R125" s="1"/>
  <c r="R157" s="1"/>
  <c r="Q123"/>
  <c r="Q125" s="1"/>
  <c r="Q157" s="1"/>
  <c r="X125" l="1"/>
  <c r="X157" s="1"/>
  <c r="V16"/>
  <c r="AH16" l="1"/>
  <c r="V44"/>
  <c r="V39"/>
  <c r="AG39"/>
  <c r="AI39" s="1"/>
  <c r="W39"/>
  <c r="AH39" l="1"/>
  <c r="AG122"/>
  <c r="AI122" s="1"/>
  <c r="V122" l="1"/>
  <c r="V123" s="1"/>
  <c r="V125" s="1"/>
  <c r="V157" s="1"/>
  <c r="W122"/>
  <c r="W123" s="1"/>
  <c r="W125" s="1"/>
  <c r="W157" s="1"/>
  <c r="U122"/>
  <c r="AG123"/>
  <c r="AI123" s="1"/>
  <c r="U123" l="1"/>
  <c r="AG41" l="1"/>
  <c r="AI41" s="1"/>
  <c r="AG23"/>
  <c r="U44"/>
  <c r="AH44" s="1"/>
  <c r="AH125" s="1"/>
  <c r="AG44" l="1"/>
  <c r="AI44" s="1"/>
  <c r="U125"/>
  <c r="AI23"/>
  <c r="AG125" l="1"/>
  <c r="AI125" s="1"/>
  <c r="AI157" s="1"/>
  <c r="U157"/>
  <c r="AH157"/>
  <c r="AL41" i="22"/>
  <c r="AL42" s="1"/>
  <c r="AL39"/>
  <c r="Z42"/>
  <c r="AL121"/>
  <c r="AL122" s="1"/>
  <c r="Z121"/>
  <c r="Z122" s="1"/>
  <c r="AG157" i="8" l="1"/>
  <c r="AG162" s="1"/>
  <c r="Z124" i="22"/>
  <c r="Z167" s="1"/>
  <c r="AL124"/>
  <c r="AL167" s="1"/>
</calcChain>
</file>

<file path=xl/comments1.xml><?xml version="1.0" encoding="utf-8"?>
<comments xmlns="http://schemas.openxmlformats.org/spreadsheetml/2006/main">
  <authors>
    <author>AArreola</author>
  </authors>
  <commentList>
    <comment ref="AG133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  <comment ref="AG135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</commentList>
</comments>
</file>

<file path=xl/connections.xml><?xml version="1.0" encoding="utf-8"?>
<connections xmlns="http://schemas.openxmlformats.org/spreadsheetml/2006/main">
  <connection id="1" name="Conexión" type="1" refreshedVersion="0" savePassword="1" background="1" saveData="1">
    <dbPr connection="DSN=VisionDatc;UID=;PWD=simbiotico;Hostname=isfadatc;ServerID=Informix;DBname=/v/nomi/datc/nomi;DBuser=;DBauth=;DBoptions=;" command="SELECT maetra.trab, maetra.paterno, maetra.materno, maetra.nombre, maetra.rfc, maetra.imss, maetra.planta, maetra.antig_z, maetra.antig_r, maetra.f_baja_x000d__x000a_FROM nomc01.maetra maetra_x000d__x000a_WHERE (maetra.f_baja='N')"/>
  </connection>
</connections>
</file>

<file path=xl/sharedStrings.xml><?xml version="1.0" encoding="utf-8"?>
<sst xmlns="http://schemas.openxmlformats.org/spreadsheetml/2006/main" count="952" uniqueCount="387">
  <si>
    <t>EQUIPO DE COMPUTO</t>
  </si>
  <si>
    <t>MUSEOGRAFIA</t>
  </si>
  <si>
    <t>Centro Cultural Arocena Laguna, AC</t>
  </si>
  <si>
    <t xml:space="preserve">ESTADO DE ACTIVIDADES </t>
  </si>
  <si>
    <t>INGRESOS</t>
  </si>
  <si>
    <t>TAQUILLA</t>
  </si>
  <si>
    <t>LIBRERÍA</t>
  </si>
  <si>
    <t xml:space="preserve">    RESTAURANT</t>
  </si>
  <si>
    <t xml:space="preserve">    PLAZA</t>
  </si>
  <si>
    <t>ALGUN EVENTO SE RENTA CON COMIDA</t>
  </si>
  <si>
    <t xml:space="preserve">    AUDITORIO</t>
  </si>
  <si>
    <t xml:space="preserve">    SALON EJECUTIVO</t>
  </si>
  <si>
    <t>CURSOS</t>
  </si>
  <si>
    <t>ESTACIONAMIENTO</t>
  </si>
  <si>
    <t>DONATIVOS</t>
  </si>
  <si>
    <t>GASTOS DE ADMINISTRACION:</t>
  </si>
  <si>
    <t>SUELDOS</t>
  </si>
  <si>
    <t>I.M.S.S, SAR,INFONAVIT</t>
  </si>
  <si>
    <t>GASTOS DE OPERACIÓN:</t>
  </si>
  <si>
    <t>VACACIONES</t>
  </si>
  <si>
    <t>AGUINALDO</t>
  </si>
  <si>
    <t>IMPUESTOS ESTATALES</t>
  </si>
  <si>
    <t>TELEFONO</t>
  </si>
  <si>
    <t>ELECTRICIDAD</t>
  </si>
  <si>
    <t>AGUA</t>
  </si>
  <si>
    <t>COMBUSTIBLES Y LUBRICANTES</t>
  </si>
  <si>
    <t>CORREO Y TELEGRAFO</t>
  </si>
  <si>
    <t>PAQUETERIA Y MENSAJERIA</t>
  </si>
  <si>
    <t>CONSUMOS OFICINA</t>
  </si>
  <si>
    <t>CUOTAS Y SUSCRIPCIONES</t>
  </si>
  <si>
    <t>ARRENDAMIENTO</t>
  </si>
  <si>
    <t>MANTENIMIENTO.</t>
  </si>
  <si>
    <t>PAPELERIA Y COPIAS</t>
  </si>
  <si>
    <t>SEGUROS Y FIANZAS</t>
  </si>
  <si>
    <t>UTILES Y GASTOS DE LIMPIEZA</t>
  </si>
  <si>
    <t>GASTOS DE VIAJE</t>
  </si>
  <si>
    <t>FLETES Y ACARREOS</t>
  </si>
  <si>
    <t>NO DEDUCIBLES.</t>
  </si>
  <si>
    <t>VARIOS</t>
  </si>
  <si>
    <t>BOLETOS TAQUILLA</t>
  </si>
  <si>
    <t>RELACIONES PUBLICAS</t>
  </si>
  <si>
    <t>GASTOS P/OBTENCION DE DONATIVOS</t>
  </si>
  <si>
    <t>COMISIONES BANCARIAS.</t>
  </si>
  <si>
    <t>GASTOS MEDICOS</t>
  </si>
  <si>
    <t>PROYECTOS ESPECIFICOS</t>
  </si>
  <si>
    <t>SERVICIOS EDUCATIVOS</t>
  </si>
  <si>
    <t>GASTOS BIBLIOTECA.</t>
  </si>
  <si>
    <t>SEGURIDAD</t>
  </si>
  <si>
    <t xml:space="preserve">TOTAL GASTOS </t>
  </si>
  <si>
    <t>REMANENTE</t>
  </si>
  <si>
    <t xml:space="preserve">    RENTA DE SILLAS</t>
  </si>
  <si>
    <t>LIQ. E INDEMNIZACIONES</t>
  </si>
  <si>
    <t>UNIFORMES Y EQ. DE TRABAJO</t>
  </si>
  <si>
    <t>GASTOS DE CAPACITACION</t>
  </si>
  <si>
    <t>GUIAS Y FOLLETOS</t>
  </si>
  <si>
    <t>LAVANDERIA</t>
  </si>
  <si>
    <t>MULTAS Y RECARGOS</t>
  </si>
  <si>
    <t>OTROS INGRESOS</t>
  </si>
  <si>
    <t>SUELDOS ASIMILADOS</t>
  </si>
  <si>
    <t xml:space="preserve">HONORARIOS  </t>
  </si>
  <si>
    <t>GASTOS POR EVENTOS</t>
  </si>
  <si>
    <t>RENTA DE MOBILIARIO</t>
  </si>
  <si>
    <t>CURADURIA</t>
  </si>
  <si>
    <t>COMUNICACIÓN Y DIFUSION</t>
  </si>
  <si>
    <t>ROSARIO RAMOS</t>
  </si>
  <si>
    <t>DEPTO. ADRIANA GALLEGOS</t>
  </si>
  <si>
    <t>EDUCAL6 % S VENTAS</t>
  </si>
  <si>
    <t>VENTA LIBROS</t>
  </si>
  <si>
    <t xml:space="preserve"> RESTAURANT</t>
  </si>
  <si>
    <t>MEMBRESIAS</t>
  </si>
  <si>
    <t>PUBLICIDAD</t>
  </si>
  <si>
    <t>PROCURACION DE FONDOS</t>
  </si>
  <si>
    <t>IVA ACREDITABLE</t>
  </si>
  <si>
    <t>CONSUMOS</t>
  </si>
  <si>
    <t>RESTAURACION CASA AROCENA</t>
  </si>
  <si>
    <t>CONGRESO INTERNACIONAL</t>
  </si>
  <si>
    <t>GASTOS DE EXPOSICIONES</t>
  </si>
  <si>
    <t>CONCEPTO</t>
  </si>
  <si>
    <t>NO DEDUCIBLES</t>
  </si>
  <si>
    <t>INTERCOM</t>
  </si>
  <si>
    <t>PROYECTO BANCAS</t>
  </si>
  <si>
    <t>FUNDACION $5,000,000, INGENIOS $800,000</t>
  </si>
  <si>
    <t>LALA $1,050,000, SEC DE FINANZAS $3,650.000</t>
  </si>
  <si>
    <t>GASTOS FINANCIEROS</t>
  </si>
  <si>
    <t>BANCOMER</t>
  </si>
  <si>
    <t>MUNICIPIO</t>
  </si>
  <si>
    <t>FUNDACION LALA</t>
  </si>
  <si>
    <t>JOSEFINA J. REYNOARD</t>
  </si>
  <si>
    <t>SANTA MONICA</t>
  </si>
  <si>
    <t>DONATIVOS:</t>
  </si>
  <si>
    <t>TOTAL DONATIVOS:</t>
  </si>
  <si>
    <t>INGENIOS</t>
  </si>
  <si>
    <t>DIF</t>
  </si>
  <si>
    <t>POR EL PERIODO DEL 1o DE ENERO AL 31 DE DICIEMBRE DE 2010</t>
  </si>
  <si>
    <t xml:space="preserve">    IPADE  (170,000 ANUALES) </t>
  </si>
  <si>
    <t>ESTADO   (50% 2010 - 50% 2011)</t>
  </si>
  <si>
    <t>EGRESOS</t>
  </si>
  <si>
    <t>TOTAL ADMINISTRATIVOS</t>
  </si>
  <si>
    <t>TOTAL GASTOS DE OPERACIÓN</t>
  </si>
  <si>
    <t>TOTAL PROYECTOS ESPECIFICOS</t>
  </si>
  <si>
    <t>UTILIDAD DE OPERACIÓN</t>
  </si>
  <si>
    <t>AIRE ACONDICIONADO</t>
  </si>
  <si>
    <t>ELEVADOR</t>
  </si>
  <si>
    <t>HERRERIA</t>
  </si>
  <si>
    <t>INST. ELECT-SANIT-PLUVIAL</t>
  </si>
  <si>
    <t>OBRA CIVIL</t>
  </si>
  <si>
    <t>INSTALACIONES ELECTRICAS</t>
  </si>
  <si>
    <t>MONTACARGAS</t>
  </si>
  <si>
    <t>PUENTES</t>
  </si>
  <si>
    <t>ADMINISTRACION DE OBRA</t>
  </si>
  <si>
    <t>(3</t>
  </si>
  <si>
    <t>(4</t>
  </si>
  <si>
    <t>(5</t>
  </si>
  <si>
    <t>(1</t>
  </si>
  <si>
    <t>(2</t>
  </si>
  <si>
    <t>(6</t>
  </si>
  <si>
    <t>(7</t>
  </si>
  <si>
    <t>(8</t>
  </si>
  <si>
    <t>(9</t>
  </si>
  <si>
    <t>(10</t>
  </si>
  <si>
    <t>(11</t>
  </si>
  <si>
    <t>(12</t>
  </si>
  <si>
    <t>LOS INGRESOS DE BANCAS ENTRARON EN 2009 COMO DONATIVOS</t>
  </si>
  <si>
    <t>VIAJES  ROSARIO RAMOS A HOUSTON-LOS ANGELES-SHANGAI</t>
  </si>
  <si>
    <t>ANUNCIO PERODICO CONDOLENCIAS</t>
  </si>
  <si>
    <t>HONORARIOS SERGIO GARZA (COORDINADOR DE PROYECTOS)</t>
  </si>
  <si>
    <t>LONA  $105,000, MTTO BIMESTRAL EQ. AIRE $ 243,829</t>
  </si>
  <si>
    <t>MULTIPLE EMPRESARIAL $ 200,036, SEGURO MUSEO $ 208,543, GASTOS MEDICOS $ 399,750</t>
  </si>
  <si>
    <t>EXPOSICIONES: CASINO 100, ANTONIETA RIVAS, PREAMBULO III</t>
  </si>
  <si>
    <t>FINANCIEMIENTO COMPPRA CAMIONETA</t>
  </si>
  <si>
    <t>(13</t>
  </si>
  <si>
    <t>HONORARIOS X COORDINACION INTERCOM SERGIO GARZA</t>
  </si>
  <si>
    <t>AUMENTO PERSONAL COM Y DIFUSION, SERV. EDUCATIVOS.</t>
  </si>
  <si>
    <t>CONSTRUCCION EDIFICIO RUSSEK</t>
  </si>
  <si>
    <t>TOTAL CONSTRUCCION</t>
  </si>
  <si>
    <t>TOTAL INGRESOS</t>
  </si>
  <si>
    <t>REAL ACUM</t>
  </si>
  <si>
    <t>DIC 2009</t>
  </si>
  <si>
    <t>DIC 2010</t>
  </si>
  <si>
    <t>PRES ACUM</t>
  </si>
  <si>
    <t>DIC 2011</t>
  </si>
  <si>
    <t>RENTA DE ESPACIOS:</t>
  </si>
  <si>
    <t>FUNDACION AROCENA (17,050X 25%)</t>
  </si>
  <si>
    <t>VENTA ESPACIOS EDIFICIO RUSSEK</t>
  </si>
  <si>
    <t>INGENIERIA ELECTRICA ILUMINACION</t>
  </si>
  <si>
    <t>CARPINTERIA</t>
  </si>
  <si>
    <t>AMPLIACION SOTANO</t>
  </si>
  <si>
    <t>FONDOS VIA CONGRESO</t>
  </si>
  <si>
    <t>No.</t>
  </si>
  <si>
    <t>NOMBBRE  (apellido paterno, materno y nombre)</t>
  </si>
  <si>
    <t>R.F.C.</t>
  </si>
  <si>
    <t>FECHA DE NACIMIENTO       (dd-mmm-aaaa)</t>
  </si>
  <si>
    <t>FECHA DE INGRESO          (dd-mmm-aaaa)</t>
  </si>
  <si>
    <t>SUELDO MENSUAL BASE</t>
  </si>
  <si>
    <t>SUELDO MENSUAL INTEGRADO</t>
  </si>
  <si>
    <t>No. IMSS</t>
  </si>
  <si>
    <t>NOMBRE DEL PUESTO</t>
  </si>
  <si>
    <t>semana</t>
  </si>
  <si>
    <t>quincena</t>
  </si>
  <si>
    <t>SDI</t>
  </si>
  <si>
    <t>CUOTA MENSUAL</t>
  </si>
  <si>
    <t>CUOTA BIMESTRE</t>
  </si>
  <si>
    <t>S</t>
  </si>
  <si>
    <t xml:space="preserve">AGUIRRE GARAY ABBY                                </t>
  </si>
  <si>
    <t>AUGA7908285S2</t>
  </si>
  <si>
    <t>32057902622</t>
  </si>
  <si>
    <t>ARQUITECTURA</t>
  </si>
  <si>
    <t xml:space="preserve">ALBERTO VELAZQUEZ JOSE DE LA LUZ                  </t>
  </si>
  <si>
    <t>AEVL7702246E4</t>
  </si>
  <si>
    <t>32947703719</t>
  </si>
  <si>
    <t xml:space="preserve">ARREOLA CARRASCO YOLANDA                          </t>
  </si>
  <si>
    <t>AECY690503RSA</t>
  </si>
  <si>
    <t>32056901237</t>
  </si>
  <si>
    <t>LIMPIEZA</t>
  </si>
  <si>
    <t xml:space="preserve">BARRIOS MARTINEZ ERNESTO                          </t>
  </si>
  <si>
    <t>BAME740513</t>
  </si>
  <si>
    <t>32907323938</t>
  </si>
  <si>
    <t xml:space="preserve">CAMARILLO RIOS ERIKA                              </t>
  </si>
  <si>
    <t>CARE820917FQ3</t>
  </si>
  <si>
    <t>31988014010</t>
  </si>
  <si>
    <t xml:space="preserve">CARREON SANCHEZ AIDA ARACELI                      </t>
  </si>
  <si>
    <t>CASA740830VAA</t>
  </si>
  <si>
    <t>60907425817</t>
  </si>
  <si>
    <t xml:space="preserve">ESPARZA MARTINEZ ROSA MARIA                       </t>
  </si>
  <si>
    <t>AEMR560319</t>
  </si>
  <si>
    <t>32835601348</t>
  </si>
  <si>
    <t xml:space="preserve">ESPINO MAGALLANES CESAR IGNACIO                   </t>
  </si>
  <si>
    <t>EIMC840731ENA</t>
  </si>
  <si>
    <t>32058405567</t>
  </si>
  <si>
    <t xml:space="preserve">GARCIA GARCIA ROSA ELIA                           </t>
  </si>
  <si>
    <t>GAGR5809039E9</t>
  </si>
  <si>
    <t>32935802010</t>
  </si>
  <si>
    <t xml:space="preserve">GONZALEZ GONZALEZ OMAR WILBERTO                   </t>
  </si>
  <si>
    <t>GOGO730617GC4</t>
  </si>
  <si>
    <t>60907314482</t>
  </si>
  <si>
    <t xml:space="preserve">GONZALEZ LEAL FORTINO                             </t>
  </si>
  <si>
    <t>GOLF5908167X5</t>
  </si>
  <si>
    <t>43775953177</t>
  </si>
  <si>
    <t xml:space="preserve">GONZALEZ RAMOS BENJAMIN                           </t>
  </si>
  <si>
    <t>GORB710317474</t>
  </si>
  <si>
    <t>32907120870</t>
  </si>
  <si>
    <t xml:space="preserve">HERNANDEZ PICHARDO JUAN ANTONIO                   </t>
  </si>
  <si>
    <t>HEPJ680901934</t>
  </si>
  <si>
    <t>31866811529</t>
  </si>
  <si>
    <t xml:space="preserve">HUITRADO SANCHEZ JUAN CARLOS                      </t>
  </si>
  <si>
    <t>HUSJ780523GP5</t>
  </si>
  <si>
    <t>32967815021</t>
  </si>
  <si>
    <t xml:space="preserve">LEIJA ESPINOZA JOSE ANGEL                         </t>
  </si>
  <si>
    <t>LEEA530115Q20</t>
  </si>
  <si>
    <t>31735300449</t>
  </si>
  <si>
    <t>CHOFER</t>
  </si>
  <si>
    <t xml:space="preserve">LOPEZ FLORES JORGE ULISES                         </t>
  </si>
  <si>
    <t>LOFJ781115K96</t>
  </si>
  <si>
    <t>32947814409</t>
  </si>
  <si>
    <t xml:space="preserve">MEDINA SALAZAR MARIA DEL ROSARIO                  </t>
  </si>
  <si>
    <t>MESR660807QX6</t>
  </si>
  <si>
    <t>32826605357</t>
  </si>
  <si>
    <t>ASISTENTE DIRECCION</t>
  </si>
  <si>
    <t xml:space="preserve">RIOS ULLOA ZENON                                  </t>
  </si>
  <si>
    <t>RIUZ740709467</t>
  </si>
  <si>
    <t>31907419183</t>
  </si>
  <si>
    <t xml:space="preserve">RODRIGUEZ MARQUEZ SERGIO ARTURO                   </t>
  </si>
  <si>
    <t>ROMS7711239R8</t>
  </si>
  <si>
    <t>32017712384</t>
  </si>
  <si>
    <t xml:space="preserve">SANCHEZ CHAVEZ MARCELA                            </t>
  </si>
  <si>
    <t>SACM7109307SA</t>
  </si>
  <si>
    <t>32067101868</t>
  </si>
  <si>
    <t xml:space="preserve">SIFUENTES RAMOS JAVIER                            </t>
  </si>
  <si>
    <t>SIRJ650830LP1</t>
  </si>
  <si>
    <t>32866504080</t>
  </si>
  <si>
    <t xml:space="preserve">SIFUENTES RANGEL ROCIO DEL SOCORRO                </t>
  </si>
  <si>
    <t>SIRR760725337</t>
  </si>
  <si>
    <t>33907480462</t>
  </si>
  <si>
    <t xml:space="preserve">SONORA MIRANDA FELIPE DE JESUS                    </t>
  </si>
  <si>
    <t>SOMF660828ES3</t>
  </si>
  <si>
    <t>32836604622</t>
  </si>
  <si>
    <t xml:space="preserve">VENEGAS VALENZUELA VIRGINIA                       </t>
  </si>
  <si>
    <t>VEVV800816S39</t>
  </si>
  <si>
    <t>60978010308</t>
  </si>
  <si>
    <t xml:space="preserve">ANDION ELIAS FLAVIA JULIA                         </t>
  </si>
  <si>
    <t>AIEF8106218F2</t>
  </si>
  <si>
    <t>32058111447</t>
  </si>
  <si>
    <t xml:space="preserve">DE LA PE#A CORTES LILIA IRMA CONCEPCION           </t>
  </si>
  <si>
    <t>PECL550812M90</t>
  </si>
  <si>
    <t>32985501991</t>
  </si>
  <si>
    <t>BIBLIOTECA</t>
  </si>
  <si>
    <t xml:space="preserve">FAVILA GALLEGOS FABIOLA                           </t>
  </si>
  <si>
    <t>FAGF8204144S3</t>
  </si>
  <si>
    <t>53018247907</t>
  </si>
  <si>
    <t xml:space="preserve">FERNANDEZ ESTRADA MARIA ISABEL                    </t>
  </si>
  <si>
    <t>FEEI790923G79</t>
  </si>
  <si>
    <t>32007901476</t>
  </si>
  <si>
    <t xml:space="preserve">GALINDO MU#OZ MARCELA                             </t>
  </si>
  <si>
    <t>GAMM840304</t>
  </si>
  <si>
    <t>31038410382</t>
  </si>
  <si>
    <t xml:space="preserve">GALLEGOS CARRION ADRIANA                          </t>
  </si>
  <si>
    <t>GACA750121T24</t>
  </si>
  <si>
    <t>45937550353</t>
  </si>
  <si>
    <t>CURADORA</t>
  </si>
  <si>
    <t xml:space="preserve">GARCIA CARDENAS MANUEL                            </t>
  </si>
  <si>
    <t>GACM770904QFA</t>
  </si>
  <si>
    <t>32967718084</t>
  </si>
  <si>
    <t xml:space="preserve">GONZALEZ LUCIO JORGE                              </t>
  </si>
  <si>
    <t>GOLJ810105RH2</t>
  </si>
  <si>
    <t>32058112130</t>
  </si>
  <si>
    <t>RESTAURADOR</t>
  </si>
  <si>
    <t xml:space="preserve">GONZALEZ QUIROZ AGUSTINA                          </t>
  </si>
  <si>
    <t>GOQA520302HT8</t>
  </si>
  <si>
    <t>32065200860</t>
  </si>
  <si>
    <t xml:space="preserve">MARTINEZ CALDERON MIGUEL ANGEL                    </t>
  </si>
  <si>
    <t>MACM841117498</t>
  </si>
  <si>
    <t>32078410373</t>
  </si>
  <si>
    <t xml:space="preserve">OLHAGARAY AYALA CAROLINA                          </t>
  </si>
  <si>
    <t>OAAC870504J66</t>
  </si>
  <si>
    <t>32088721793</t>
  </si>
  <si>
    <t xml:space="preserve">OLIVARES GARCIA JOSE DE JESUS                     </t>
  </si>
  <si>
    <t>OIGJ5009084P9</t>
  </si>
  <si>
    <t>43795004712</t>
  </si>
  <si>
    <t>MENSAJERO</t>
  </si>
  <si>
    <t xml:space="preserve">RAMOS SALAS ROSARIO DEL CARMEN                    </t>
  </si>
  <si>
    <t>RASR490914DW4</t>
  </si>
  <si>
    <t>32694927545</t>
  </si>
  <si>
    <t>DIRECTOR</t>
  </si>
  <si>
    <t xml:space="preserve">RANGEL DUQUE IVAN BALAM                           </t>
  </si>
  <si>
    <t>RADI8010299E3</t>
  </si>
  <si>
    <t>31068003537</t>
  </si>
  <si>
    <t>MANTENIMIENTO</t>
  </si>
  <si>
    <t xml:space="preserve">SAENZ PE#A FRANCISCO CARLOS                       </t>
  </si>
  <si>
    <t>SAPF780313366</t>
  </si>
  <si>
    <t>31977844864</t>
  </si>
  <si>
    <t xml:space="preserve">TLAPANCO ROMAN ROSALINDA                          </t>
  </si>
  <si>
    <t>TARR860504M36</t>
  </si>
  <si>
    <t>32058648497</t>
  </si>
  <si>
    <t xml:space="preserve">TORRES BETANCOURT MARIANA                         </t>
  </si>
  <si>
    <t>TOBM810510FC6</t>
  </si>
  <si>
    <t>32058110571</t>
  </si>
  <si>
    <t xml:space="preserve"> </t>
  </si>
  <si>
    <t>SUMAS</t>
  </si>
  <si>
    <t>ACUM</t>
  </si>
  <si>
    <t xml:space="preserve">    LIBRERÍA</t>
  </si>
  <si>
    <t>GOBIERNO DEL ESTADO</t>
  </si>
  <si>
    <t>GOBIERNO MUNICIPAL</t>
  </si>
  <si>
    <t>FUNDACION AROCENA (16,800 X 35%) Gtos. Operación</t>
  </si>
  <si>
    <t>FUNDACION AROCENA ( 25,030 X 25% ) Edif. Russek</t>
  </si>
  <si>
    <t>PEÑOLES</t>
  </si>
  <si>
    <t>ESTRUCTURA METALICA</t>
  </si>
  <si>
    <t>INST. HIDRAULICA Y SANITARIA</t>
  </si>
  <si>
    <t>INSTALACIONES ELECTRONICAS</t>
  </si>
  <si>
    <t>VIDRIO Y CRISTAL</t>
  </si>
  <si>
    <t>MONTACARGAS, ELEVADOR Y AIRE ACONDICIONADO</t>
  </si>
  <si>
    <t>FACHADA</t>
  </si>
  <si>
    <t>SUBTOTAL</t>
  </si>
  <si>
    <t>16% DE IVA</t>
  </si>
  <si>
    <t>TOTAL</t>
  </si>
  <si>
    <t>MUSEOGRAFIA DE LOS DOS NIVELES</t>
  </si>
  <si>
    <t>TOTAL CONSTRUCCION DE EDIF. RUSSEK Y MUSEOGRAFIA INCLUYENDO IVA</t>
  </si>
  <si>
    <t>VENTA DE 14 ESPACIOS EDIFICIO RUSSEK</t>
  </si>
  <si>
    <t>REMANENTE PARA USARSE EN GASTOS DE OPERACIÓN 2012</t>
  </si>
  <si>
    <t>CONSTRUCCION EDIFICIO RUSSEK (INCLUYE LOCALES COMERCIALES)</t>
  </si>
  <si>
    <t>COSTO DE VENTAS</t>
  </si>
  <si>
    <t>TRABAJOS PRELIMINARES Y DEMOLICIONES</t>
  </si>
  <si>
    <t>ACABADOS</t>
  </si>
  <si>
    <t>PINTURA</t>
  </si>
  <si>
    <t>SIST. CONTROL DE ACCESOS</t>
  </si>
  <si>
    <t>SIST. DE RED VOZ Y DATOS</t>
  </si>
  <si>
    <t>SIST. DE CCTV</t>
  </si>
  <si>
    <t>SIST. DE INTRUSION</t>
  </si>
  <si>
    <t>SIST. CONTROL DE ALUMBRADO</t>
  </si>
  <si>
    <t>SIST. DETECCION DE INCENDIOS</t>
  </si>
  <si>
    <t>TOTAL CONSTRUCCION EDIF. RUSSEK Y MUSEOGRAFIA INCLUYENDO IVA</t>
  </si>
  <si>
    <t>DEPRECIACION</t>
  </si>
  <si>
    <t>Plantilla de Empleados al 31 de diciembre de 2011</t>
  </si>
  <si>
    <t>SD</t>
  </si>
  <si>
    <t>POR CONTRATAR</t>
  </si>
  <si>
    <t>NOV 2011</t>
  </si>
  <si>
    <t xml:space="preserve">                           POR EL PERIODO DEL 1o DE ENERO AL 30 DE NOVIEMBRE DE 2011</t>
  </si>
  <si>
    <t>vacaciones</t>
  </si>
  <si>
    <t>DIC 2012</t>
  </si>
  <si>
    <t>DIRECCION</t>
  </si>
  <si>
    <t>ALUMINIO, VIDRIO Y TABLAROCA</t>
  </si>
  <si>
    <t>ICOCULT</t>
  </si>
  <si>
    <t xml:space="preserve">    SALAS</t>
  </si>
  <si>
    <t>ILUMINACION</t>
  </si>
  <si>
    <t>ESTRUCTURA DE MADERA</t>
  </si>
  <si>
    <t>SOTANO</t>
  </si>
  <si>
    <t>LALA 3 MILL DE SALA RUSSEK Y 1 MILL DE DONATIVOS</t>
  </si>
  <si>
    <t>EN ESPECIE (AIRE ACONDICIONADO. MONTACARGAS, ELEVADOR)</t>
  </si>
  <si>
    <t>HONORARIOS</t>
  </si>
  <si>
    <t xml:space="preserve">                           POR EL PERIODO DEL 1o DE ENERO AL 31 DE DICIEMBRE DE 2012</t>
  </si>
  <si>
    <t>SALAS RUSSEK  1,000 TYSON, 900 INMOB. NOAS</t>
  </si>
  <si>
    <t>GASTOS DE OPERACIÓN</t>
  </si>
  <si>
    <t>PROYECTOS</t>
  </si>
  <si>
    <t>TOTAL GASTOS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</si>
  <si>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</si>
  <si>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</si>
  <si>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</si>
  <si>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</si>
  <si>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</si>
  <si>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</si>
  <si>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</si>
  <si>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</si>
  <si>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</si>
  <si>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</si>
  <si>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</si>
  <si>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</si>
  <si>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DIC 2013</t>
  </si>
  <si>
    <t>SEM</t>
  </si>
  <si>
    <t>QUINC</t>
  </si>
  <si>
    <t>PRESUPUESTO 2013</t>
  </si>
  <si>
    <t>INT. CORTE Y CONFECCION</t>
  </si>
  <si>
    <t>LECHE BELL</t>
  </si>
  <si>
    <t>INST ELECTORAL Y DE PARTIC CIUDADANA</t>
  </si>
  <si>
    <t>OK</t>
  </si>
  <si>
    <t>CONACULTA</t>
  </si>
  <si>
    <t>RENTA DE ESPACIOS</t>
  </si>
  <si>
    <t xml:space="preserve">FUNDACION AROCENA </t>
  </si>
  <si>
    <t>CENTRO CULTURAL AROCENA LAGUNA, AC</t>
  </si>
  <si>
    <t>DETALLE</t>
  </si>
  <si>
    <t xml:space="preserve">GASTOS DE OPERACIÓN </t>
  </si>
  <si>
    <t>INVERSION CONSTRUCCION EDIFICIO RUSSEK</t>
  </si>
  <si>
    <t>REMANENTE PARA USARSE EN GASTOS DE OPERACIÓN 2013</t>
  </si>
  <si>
    <t>PROCURACION  DE FONDOS</t>
  </si>
  <si>
    <t>REMANENTE DE OPERACIÓN</t>
  </si>
  <si>
    <t>CAFETERIA</t>
  </si>
  <si>
    <t xml:space="preserve">          ESTADO DE ACTIVIDADES  AL 31 DE JULIO 2015</t>
  </si>
  <si>
    <t>JULIO 2015</t>
  </si>
  <si>
    <t xml:space="preserve"> JULIO 2015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</si>
</sst>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dd\-mmm\-yyyy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Arial"/>
      <family val="2"/>
    </font>
    <font>
      <b/>
      <sz val="11"/>
      <name val="Times New Roman"/>
      <family val="1"/>
    </font>
    <font>
      <b/>
      <sz val="2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5" fillId="0" borderId="0"/>
    <xf numFmtId="0" fontId="21" fillId="0" borderId="0"/>
    <xf numFmtId="43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546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9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7" fontId="12" fillId="0" borderId="0" xfId="0" applyNumberFormat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7" fontId="12" fillId="0" borderId="0" xfId="0" quotePrefix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9" fillId="0" borderId="0" xfId="0" applyFont="1"/>
    <xf numFmtId="164" fontId="10" fillId="0" borderId="2" xfId="1" applyNumberFormat="1" applyFont="1" applyBorder="1" applyAlignment="1">
      <alignment horizontal="right"/>
    </xf>
    <xf numFmtId="164" fontId="9" fillId="0" borderId="2" xfId="1" applyNumberFormat="1" applyFont="1" applyBorder="1"/>
    <xf numFmtId="0" fontId="10" fillId="0" borderId="0" xfId="0" applyFont="1" applyAlignment="1">
      <alignment horizontal="left"/>
    </xf>
    <xf numFmtId="164" fontId="0" fillId="0" borderId="0" xfId="0" applyNumberFormat="1"/>
    <xf numFmtId="164" fontId="9" fillId="0" borderId="3" xfId="1" applyNumberFormat="1" applyFont="1" applyBorder="1"/>
    <xf numFmtId="164" fontId="10" fillId="0" borderId="0" xfId="1" applyNumberFormat="1" applyFont="1"/>
    <xf numFmtId="164" fontId="10" fillId="0" borderId="1" xfId="1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164" fontId="10" fillId="0" borderId="2" xfId="1" applyNumberFormat="1" applyFont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3" fontId="0" fillId="0" borderId="0" xfId="0" applyNumberFormat="1"/>
    <xf numFmtId="3" fontId="10" fillId="0" borderId="5" xfId="0" applyNumberFormat="1" applyFont="1" applyBorder="1" applyAlignment="1">
      <alignment horizontal="left"/>
    </xf>
    <xf numFmtId="0" fontId="7" fillId="0" borderId="0" xfId="0" applyFont="1" applyFill="1" applyBorder="1"/>
    <xf numFmtId="3" fontId="12" fillId="0" borderId="0" xfId="0" applyNumberFormat="1" applyFont="1" applyBorder="1" applyAlignment="1">
      <alignment horizontal="center"/>
    </xf>
    <xf numFmtId="0" fontId="0" fillId="0" borderId="0" xfId="0" applyFill="1" applyBorder="1"/>
    <xf numFmtId="3" fontId="12" fillId="0" borderId="0" xfId="0" applyNumberFormat="1" applyFont="1" applyBorder="1" applyAlignment="1">
      <alignment horizontal="right"/>
    </xf>
    <xf numFmtId="164" fontId="10" fillId="0" borderId="6" xfId="1" applyNumberFormat="1" applyFont="1" applyBorder="1" applyAlignment="1">
      <alignment horizontal="right"/>
    </xf>
    <xf numFmtId="164" fontId="10" fillId="0" borderId="5" xfId="1" applyNumberFormat="1" applyFont="1" applyBorder="1" applyAlignment="1">
      <alignment horizontal="right"/>
    </xf>
    <xf numFmtId="43" fontId="7" fillId="0" borderId="0" xfId="1" applyFont="1" applyFill="1" applyBorder="1"/>
    <xf numFmtId="3" fontId="10" fillId="0" borderId="2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0" fontId="13" fillId="0" borderId="0" xfId="0" applyFont="1"/>
    <xf numFmtId="0" fontId="12" fillId="0" borderId="0" xfId="0" applyFont="1" applyFill="1" applyBorder="1"/>
    <xf numFmtId="0" fontId="14" fillId="0" borderId="0" xfId="0" applyFont="1"/>
    <xf numFmtId="164" fontId="13" fillId="0" borderId="0" xfId="1" applyNumberFormat="1" applyFont="1"/>
    <xf numFmtId="43" fontId="5" fillId="0" borderId="0" xfId="1" applyFont="1"/>
    <xf numFmtId="164" fontId="0" fillId="0" borderId="0" xfId="0" applyNumberFormat="1" applyAlignment="1">
      <alignment horizontal="right"/>
    </xf>
    <xf numFmtId="43" fontId="7" fillId="0" borderId="0" xfId="1" applyFont="1"/>
    <xf numFmtId="43" fontId="0" fillId="0" borderId="0" xfId="0" applyNumberFormat="1"/>
    <xf numFmtId="43" fontId="0" fillId="0" borderId="0" xfId="1" applyFont="1"/>
    <xf numFmtId="0" fontId="7" fillId="0" borderId="0" xfId="0" applyFont="1"/>
    <xf numFmtId="164" fontId="14" fillId="0" borderId="0" xfId="0" applyNumberFormat="1" applyFont="1"/>
    <xf numFmtId="164" fontId="7" fillId="0" borderId="0" xfId="0" applyNumberFormat="1" applyFont="1" applyAlignment="1">
      <alignment horizontal="right"/>
    </xf>
    <xf numFmtId="0" fontId="12" fillId="0" borderId="0" xfId="0" applyFont="1" applyAlignment="1"/>
    <xf numFmtId="164" fontId="7" fillId="0" borderId="0" xfId="0" applyNumberFormat="1" applyFont="1" applyFill="1" applyBorder="1"/>
    <xf numFmtId="164" fontId="12" fillId="0" borderId="2" xfId="1" applyNumberFormat="1" applyFont="1" applyBorder="1"/>
    <xf numFmtId="0" fontId="12" fillId="0" borderId="0" xfId="0" applyFont="1" applyAlignment="1">
      <alignment horizontal="left"/>
    </xf>
    <xf numFmtId="164" fontId="0" fillId="0" borderId="0" xfId="1" applyNumberFormat="1" applyFont="1"/>
    <xf numFmtId="164" fontId="12" fillId="0" borderId="4" xfId="1" applyNumberFormat="1" applyFont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/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/>
    <xf numFmtId="164" fontId="10" fillId="0" borderId="1" xfId="1" applyNumberFormat="1" applyFont="1" applyFill="1" applyBorder="1" applyAlignment="1">
      <alignment horizontal="right"/>
    </xf>
    <xf numFmtId="17" fontId="12" fillId="0" borderId="4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3" fontId="10" fillId="0" borderId="10" xfId="0" applyNumberFormat="1" applyFont="1" applyBorder="1" applyAlignment="1">
      <alignment horizontal="left"/>
    </xf>
    <xf numFmtId="3" fontId="10" fillId="0" borderId="12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0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9" fillId="0" borderId="2" xfId="1" applyNumberFormat="1" applyFont="1" applyFill="1" applyBorder="1"/>
    <xf numFmtId="43" fontId="0" fillId="0" borderId="0" xfId="1" applyFont="1" applyAlignment="1">
      <alignment horizontal="right"/>
    </xf>
    <xf numFmtId="164" fontId="12" fillId="0" borderId="2" xfId="1" applyNumberFormat="1" applyFont="1" applyFill="1" applyBorder="1"/>
    <xf numFmtId="164" fontId="10" fillId="0" borderId="2" xfId="1" applyNumberFormat="1" applyFont="1" applyFill="1" applyBorder="1"/>
    <xf numFmtId="164" fontId="10" fillId="0" borderId="3" xfId="1" applyNumberFormat="1" applyFont="1" applyFill="1" applyBorder="1"/>
    <xf numFmtId="164" fontId="10" fillId="0" borderId="3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4" fontId="7" fillId="0" borderId="0" xfId="1" applyNumberFormat="1" applyFont="1" applyAlignment="1">
      <alignment horizontal="right"/>
    </xf>
    <xf numFmtId="0" fontId="12" fillId="0" borderId="13" xfId="0" applyFont="1" applyBorder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5" fillId="0" borderId="0" xfId="0" applyFont="1"/>
    <xf numFmtId="164" fontId="12" fillId="0" borderId="1" xfId="1" applyNumberFormat="1" applyFont="1" applyBorder="1" applyAlignment="1">
      <alignment horizontal="center"/>
    </xf>
    <xf numFmtId="0" fontId="12" fillId="0" borderId="14" xfId="0" applyFont="1" applyBorder="1"/>
    <xf numFmtId="17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2" fillId="0" borderId="14" xfId="1" applyNumberFormat="1" applyFont="1" applyBorder="1" applyAlignment="1">
      <alignment horizontal="center"/>
    </xf>
    <xf numFmtId="0" fontId="12" fillId="0" borderId="13" xfId="0" applyFont="1" applyBorder="1"/>
    <xf numFmtId="164" fontId="12" fillId="0" borderId="6" xfId="1" applyNumberFormat="1" applyFont="1" applyBorder="1" applyAlignment="1">
      <alignment horizontal="center"/>
    </xf>
    <xf numFmtId="164" fontId="0" fillId="0" borderId="2" xfId="1" applyNumberFormat="1" applyFont="1" applyBorder="1"/>
    <xf numFmtId="0" fontId="0" fillId="0" borderId="5" xfId="0" applyBorder="1"/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left"/>
    </xf>
    <xf numFmtId="164" fontId="0" fillId="0" borderId="2" xfId="0" applyNumberFormat="1" applyBorder="1"/>
    <xf numFmtId="0" fontId="0" fillId="0" borderId="3" xfId="0" applyBorder="1"/>
    <xf numFmtId="17" fontId="11" fillId="0" borderId="0" xfId="0" applyNumberFormat="1" applyFont="1" applyBorder="1" applyAlignment="1"/>
    <xf numFmtId="17" fontId="11" fillId="0" borderId="0" xfId="0" quotePrefix="1" applyNumberFormat="1" applyFont="1" applyBorder="1" applyAlignment="1"/>
    <xf numFmtId="0" fontId="11" fillId="0" borderId="0" xfId="0" applyFont="1" applyBorder="1" applyAlignment="1"/>
    <xf numFmtId="3" fontId="9" fillId="0" borderId="11" xfId="0" applyNumberFormat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12" fillId="0" borderId="1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10" fillId="0" borderId="2" xfId="1" applyNumberFormat="1" applyFont="1" applyBorder="1"/>
    <xf numFmtId="164" fontId="0" fillId="0" borderId="0" xfId="0" applyNumberFormat="1" applyBorder="1"/>
    <xf numFmtId="0" fontId="12" fillId="0" borderId="0" xfId="0" applyFont="1"/>
    <xf numFmtId="0" fontId="15" fillId="0" borderId="0" xfId="0" applyFont="1"/>
    <xf numFmtId="0" fontId="15" fillId="0" borderId="9" xfId="0" applyFont="1" applyBorder="1"/>
    <xf numFmtId="3" fontId="9" fillId="0" borderId="0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4" fontId="9" fillId="0" borderId="3" xfId="1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right"/>
    </xf>
    <xf numFmtId="0" fontId="0" fillId="0" borderId="0" xfId="0" applyBorder="1"/>
    <xf numFmtId="164" fontId="9" fillId="2" borderId="2" xfId="1" applyNumberFormat="1" applyFont="1" applyFill="1" applyBorder="1"/>
    <xf numFmtId="164" fontId="12" fillId="3" borderId="0" xfId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center"/>
    </xf>
    <xf numFmtId="164" fontId="12" fillId="3" borderId="2" xfId="1" applyNumberFormat="1" applyFont="1" applyFill="1" applyBorder="1" applyAlignment="1">
      <alignment horizontal="right"/>
    </xf>
    <xf numFmtId="164" fontId="12" fillId="0" borderId="0" xfId="0" applyNumberFormat="1" applyFont="1"/>
    <xf numFmtId="0" fontId="16" fillId="0" borderId="0" xfId="0" applyFont="1"/>
    <xf numFmtId="43" fontId="9" fillId="0" borderId="0" xfId="1" applyFont="1"/>
    <xf numFmtId="43" fontId="9" fillId="0" borderId="0" xfId="0" applyNumberFormat="1" applyFont="1"/>
    <xf numFmtId="164" fontId="12" fillId="3" borderId="4" xfId="1" applyNumberFormat="1" applyFont="1" applyFill="1" applyBorder="1" applyAlignment="1">
      <alignment horizontal="right"/>
    </xf>
    <xf numFmtId="0" fontId="12" fillId="3" borderId="7" xfId="0" applyFont="1" applyFill="1" applyBorder="1"/>
    <xf numFmtId="0" fontId="10" fillId="3" borderId="8" xfId="0" applyFont="1" applyFill="1" applyBorder="1"/>
    <xf numFmtId="165" fontId="0" fillId="3" borderId="0" xfId="1" applyNumberFormat="1" applyFont="1" applyFill="1"/>
    <xf numFmtId="3" fontId="12" fillId="3" borderId="7" xfId="0" applyNumberFormat="1" applyFont="1" applyFill="1" applyBorder="1" applyAlignment="1">
      <alignment horizontal="left"/>
    </xf>
    <xf numFmtId="3" fontId="10" fillId="3" borderId="8" xfId="0" applyNumberFormat="1" applyFont="1" applyFill="1" applyBorder="1" applyAlignment="1">
      <alignment horizontal="left"/>
    </xf>
    <xf numFmtId="164" fontId="0" fillId="3" borderId="0" xfId="0" applyNumberFormat="1" applyFill="1"/>
    <xf numFmtId="3" fontId="12" fillId="3" borderId="7" xfId="0" applyNumberFormat="1" applyFont="1" applyFill="1" applyBorder="1" applyAlignment="1">
      <alignment horizontal="center"/>
    </xf>
    <xf numFmtId="3" fontId="12" fillId="3" borderId="8" xfId="0" applyNumberFormat="1" applyFont="1" applyFill="1" applyBorder="1" applyAlignment="1">
      <alignment horizontal="center"/>
    </xf>
    <xf numFmtId="164" fontId="0" fillId="3" borderId="0" xfId="0" applyNumberFormat="1" applyFill="1" applyBorder="1"/>
    <xf numFmtId="164" fontId="12" fillId="3" borderId="4" xfId="1" applyNumberFormat="1" applyFont="1" applyFill="1" applyBorder="1"/>
    <xf numFmtId="164" fontId="12" fillId="4" borderId="0" xfId="1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center"/>
    </xf>
    <xf numFmtId="164" fontId="12" fillId="4" borderId="2" xfId="1" applyNumberFormat="1" applyFont="1" applyFill="1" applyBorder="1" applyAlignment="1">
      <alignment horizontal="right"/>
    </xf>
    <xf numFmtId="164" fontId="12" fillId="4" borderId="15" xfId="1" applyNumberFormat="1" applyFont="1" applyFill="1" applyBorder="1" applyAlignment="1">
      <alignment horizontal="right"/>
    </xf>
    <xf numFmtId="0" fontId="12" fillId="4" borderId="0" xfId="0" applyFont="1" applyFill="1" applyBorder="1"/>
    <xf numFmtId="164" fontId="12" fillId="0" borderId="3" xfId="1" quotePrefix="1" applyNumberFormat="1" applyFont="1" applyBorder="1" applyAlignment="1">
      <alignment horizontal="center"/>
    </xf>
    <xf numFmtId="0" fontId="12" fillId="0" borderId="0" xfId="0" applyFont="1" applyBorder="1"/>
    <xf numFmtId="0" fontId="17" fillId="0" borderId="0" xfId="0" applyFont="1"/>
    <xf numFmtId="166" fontId="0" fillId="0" borderId="0" xfId="0" applyNumberFormat="1"/>
    <xf numFmtId="43" fontId="0" fillId="0" borderId="0" xfId="2" applyFont="1"/>
    <xf numFmtId="0" fontId="0" fillId="2" borderId="0" xfId="0" applyFill="1"/>
    <xf numFmtId="0" fontId="11" fillId="0" borderId="0" xfId="0" applyFont="1"/>
    <xf numFmtId="166" fontId="0" fillId="0" borderId="0" xfId="0" applyNumberForma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16" xfId="0" applyFont="1" applyBorder="1" applyAlignment="1">
      <alignment horizontal="center" wrapText="1"/>
    </xf>
    <xf numFmtId="166" fontId="7" fillId="0" borderId="16" xfId="0" applyNumberFormat="1" applyFont="1" applyBorder="1" applyAlignment="1">
      <alignment horizontal="center" wrapText="1"/>
    </xf>
    <xf numFmtId="4" fontId="7" fillId="0" borderId="16" xfId="0" applyNumberFormat="1" applyFont="1" applyBorder="1" applyAlignment="1">
      <alignment horizontal="center" wrapText="1"/>
    </xf>
    <xf numFmtId="43" fontId="5" fillId="0" borderId="0" xfId="2" applyFont="1" applyAlignment="1">
      <alignment horizontal="center" wrapText="1"/>
    </xf>
    <xf numFmtId="9" fontId="5" fillId="0" borderId="0" xfId="2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16" xfId="0" applyBorder="1"/>
    <xf numFmtId="0" fontId="5" fillId="0" borderId="16" xfId="0" applyFont="1" applyBorder="1"/>
    <xf numFmtId="166" fontId="0" fillId="0" borderId="16" xfId="0" applyNumberFormat="1" applyBorder="1"/>
    <xf numFmtId="4" fontId="0" fillId="0" borderId="16" xfId="0" applyNumberFormat="1" applyBorder="1" applyAlignment="1">
      <alignment horizontal="right"/>
    </xf>
    <xf numFmtId="164" fontId="0" fillId="0" borderId="0" xfId="2" applyNumberFormat="1" applyFont="1"/>
    <xf numFmtId="43" fontId="0" fillId="2" borderId="0" xfId="2" applyFont="1" applyFill="1"/>
    <xf numFmtId="164" fontId="7" fillId="0" borderId="0" xfId="2" applyNumberFormat="1" applyFont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166" fontId="7" fillId="0" borderId="17" xfId="0" applyNumberFormat="1" applyFont="1" applyBorder="1"/>
    <xf numFmtId="166" fontId="0" fillId="0" borderId="18" xfId="0" applyNumberFormat="1" applyBorder="1"/>
    <xf numFmtId="4" fontId="7" fillId="0" borderId="17" xfId="0" applyNumberFormat="1" applyFont="1" applyBorder="1"/>
    <xf numFmtId="43" fontId="7" fillId="0" borderId="0" xfId="2" applyFont="1"/>
    <xf numFmtId="43" fontId="7" fillId="0" borderId="0" xfId="0" applyNumberFormat="1" applyFont="1"/>
    <xf numFmtId="43" fontId="7" fillId="2" borderId="0" xfId="0" applyNumberFormat="1" applyFont="1" applyFill="1"/>
    <xf numFmtId="164" fontId="15" fillId="0" borderId="0" xfId="1" applyNumberFormat="1" applyFont="1"/>
    <xf numFmtId="164" fontId="12" fillId="0" borderId="0" xfId="1" applyNumberFormat="1" applyFont="1" applyFill="1" applyBorder="1"/>
    <xf numFmtId="17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1" applyNumberFormat="1" applyFont="1" applyBorder="1" applyAlignment="1">
      <alignment horizontal="center"/>
    </xf>
    <xf numFmtId="0" fontId="10" fillId="0" borderId="10" xfId="0" applyFont="1" applyBorder="1"/>
    <xf numFmtId="0" fontId="10" fillId="0" borderId="0" xfId="0" applyFont="1" applyBorder="1"/>
    <xf numFmtId="0" fontId="12" fillId="0" borderId="10" xfId="0" applyFont="1" applyBorder="1"/>
    <xf numFmtId="0" fontId="10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9" fillId="0" borderId="10" xfId="0" applyFont="1" applyBorder="1"/>
    <xf numFmtId="0" fontId="9" fillId="0" borderId="11" xfId="0" applyFont="1" applyBorder="1"/>
    <xf numFmtId="0" fontId="10" fillId="0" borderId="19" xfId="0" applyFont="1" applyBorder="1"/>
    <xf numFmtId="0" fontId="12" fillId="0" borderId="19" xfId="0" applyFont="1" applyBorder="1"/>
    <xf numFmtId="164" fontId="12" fillId="3" borderId="0" xfId="1" applyNumberFormat="1" applyFont="1" applyFill="1" applyBorder="1"/>
    <xf numFmtId="0" fontId="12" fillId="0" borderId="0" xfId="0" applyFont="1" applyFill="1"/>
    <xf numFmtId="43" fontId="14" fillId="0" borderId="0" xfId="0" applyNumberFormat="1" applyFont="1"/>
    <xf numFmtId="3" fontId="12" fillId="3" borderId="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center"/>
    </xf>
    <xf numFmtId="164" fontId="12" fillId="3" borderId="20" xfId="1" applyNumberFormat="1" applyFont="1" applyFill="1" applyBorder="1"/>
    <xf numFmtId="0" fontId="12" fillId="0" borderId="20" xfId="0" applyFont="1" applyBorder="1"/>
    <xf numFmtId="3" fontId="12" fillId="3" borderId="13" xfId="0" applyNumberFormat="1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center"/>
    </xf>
    <xf numFmtId="164" fontId="12" fillId="3" borderId="13" xfId="1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0" fontId="12" fillId="0" borderId="13" xfId="0" applyFont="1" applyFill="1" applyBorder="1"/>
    <xf numFmtId="164" fontId="12" fillId="0" borderId="6" xfId="1" applyNumberFormat="1" applyFont="1" applyFill="1" applyBorder="1"/>
    <xf numFmtId="3" fontId="12" fillId="0" borderId="10" xfId="0" applyNumberFormat="1" applyFont="1" applyFill="1" applyBorder="1" applyAlignment="1">
      <alignment horizontal="left"/>
    </xf>
    <xf numFmtId="164" fontId="12" fillId="0" borderId="5" xfId="1" applyNumberFormat="1" applyFont="1" applyFill="1" applyBorder="1"/>
    <xf numFmtId="3" fontId="12" fillId="0" borderId="11" xfId="0" applyNumberFormat="1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0" fontId="12" fillId="0" borderId="19" xfId="0" applyFont="1" applyFill="1" applyBorder="1"/>
    <xf numFmtId="164" fontId="12" fillId="0" borderId="12" xfId="1" applyNumberFormat="1" applyFont="1" applyFill="1" applyBorder="1"/>
    <xf numFmtId="3" fontId="12" fillId="3" borderId="15" xfId="0" applyNumberFormat="1" applyFont="1" applyFill="1" applyBorder="1" applyAlignment="1">
      <alignment horizontal="left"/>
    </xf>
    <xf numFmtId="3" fontId="12" fillId="3" borderId="15" xfId="0" applyNumberFormat="1" applyFont="1" applyFill="1" applyBorder="1" applyAlignment="1">
      <alignment horizontal="center"/>
    </xf>
    <xf numFmtId="164" fontId="12" fillId="3" borderId="15" xfId="1" applyNumberFormat="1" applyFont="1" applyFill="1" applyBorder="1"/>
    <xf numFmtId="0" fontId="12" fillId="0" borderId="15" xfId="0" applyFont="1" applyBorder="1"/>
    <xf numFmtId="0" fontId="0" fillId="2" borderId="0" xfId="0" applyFill="1" applyAlignment="1">
      <alignment horizontal="center"/>
    </xf>
    <xf numFmtId="17" fontId="12" fillId="2" borderId="4" xfId="0" applyNumberFormat="1" applyFont="1" applyFill="1" applyBorder="1" applyAlignment="1">
      <alignment horizontal="center"/>
    </xf>
    <xf numFmtId="17" fontId="12" fillId="2" borderId="13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horizontal="right"/>
    </xf>
    <xf numFmtId="164" fontId="12" fillId="2" borderId="2" xfId="1" applyNumberFormat="1" applyFont="1" applyFill="1" applyBorder="1"/>
    <xf numFmtId="164" fontId="12" fillId="2" borderId="4" xfId="1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164" fontId="10" fillId="2" borderId="1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/>
    <xf numFmtId="164" fontId="12" fillId="2" borderId="1" xfId="1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/>
    <xf numFmtId="164" fontId="9" fillId="2" borderId="1" xfId="1" applyNumberFormat="1" applyFont="1" applyFill="1" applyBorder="1" applyAlignment="1">
      <alignment horizontal="right"/>
    </xf>
    <xf numFmtId="164" fontId="12" fillId="2" borderId="4" xfId="1" applyNumberFormat="1" applyFont="1" applyFill="1" applyBorder="1"/>
    <xf numFmtId="164" fontId="9" fillId="2" borderId="3" xfId="1" applyNumberFormat="1" applyFont="1" applyFill="1" applyBorder="1" applyAlignment="1">
      <alignment horizontal="right"/>
    </xf>
    <xf numFmtId="164" fontId="12" fillId="2" borderId="0" xfId="1" applyNumberFormat="1" applyFont="1" applyFill="1" applyBorder="1"/>
    <xf numFmtId="164" fontId="12" fillId="2" borderId="13" xfId="1" applyNumberFormat="1" applyFont="1" applyFill="1" applyBorder="1"/>
    <xf numFmtId="164" fontId="12" fillId="2" borderId="19" xfId="1" applyNumberFormat="1" applyFont="1" applyFill="1" applyBorder="1"/>
    <xf numFmtId="164" fontId="12" fillId="2" borderId="20" xfId="1" applyNumberFormat="1" applyFont="1" applyFill="1" applyBorder="1"/>
    <xf numFmtId="164" fontId="12" fillId="2" borderId="15" xfId="1" applyNumberFormat="1" applyFont="1" applyFill="1" applyBorder="1"/>
    <xf numFmtId="164" fontId="9" fillId="2" borderId="0" xfId="1" applyNumberFormat="1" applyFont="1" applyFill="1" applyBorder="1" applyAlignment="1">
      <alignment horizontal="right"/>
    </xf>
    <xf numFmtId="164" fontId="12" fillId="2" borderId="15" xfId="1" applyNumberFormat="1" applyFont="1" applyFill="1" applyBorder="1" applyAlignment="1">
      <alignment horizontal="right"/>
    </xf>
    <xf numFmtId="0" fontId="14" fillId="2" borderId="0" xfId="0" applyFont="1" applyFill="1"/>
    <xf numFmtId="164" fontId="0" fillId="2" borderId="0" xfId="1" applyNumberFormat="1" applyFont="1" applyFill="1"/>
    <xf numFmtId="43" fontId="0" fillId="2" borderId="0" xfId="1" applyFont="1" applyFill="1"/>
    <xf numFmtId="0" fontId="5" fillId="0" borderId="0" xfId="3"/>
    <xf numFmtId="0" fontId="5" fillId="0" borderId="0" xfId="3" applyFill="1"/>
    <xf numFmtId="43" fontId="5" fillId="0" borderId="0" xfId="4" applyFont="1"/>
    <xf numFmtId="0" fontId="9" fillId="0" borderId="0" xfId="3" applyFont="1"/>
    <xf numFmtId="0" fontId="9" fillId="0" borderId="0" xfId="3" applyFont="1" applyAlignment="1">
      <alignment horizontal="right"/>
    </xf>
    <xf numFmtId="164" fontId="9" fillId="0" borderId="0" xfId="2" applyNumberFormat="1" applyFont="1"/>
    <xf numFmtId="17" fontId="11" fillId="0" borderId="0" xfId="3" applyNumberFormat="1" applyFont="1" applyBorder="1" applyAlignment="1"/>
    <xf numFmtId="17" fontId="11" fillId="0" borderId="0" xfId="3" quotePrefix="1" applyNumberFormat="1" applyFont="1" applyBorder="1" applyAlignment="1"/>
    <xf numFmtId="164" fontId="11" fillId="0" borderId="0" xfId="3" applyNumberFormat="1" applyFont="1" applyBorder="1" applyAlignment="1"/>
    <xf numFmtId="0" fontId="11" fillId="0" borderId="0" xfId="3" applyFont="1" applyBorder="1" applyAlignment="1"/>
    <xf numFmtId="17" fontId="12" fillId="0" borderId="0" xfId="3" applyNumberFormat="1" applyFont="1" applyBorder="1" applyAlignment="1">
      <alignment horizontal="center"/>
    </xf>
    <xf numFmtId="43" fontId="12" fillId="0" borderId="0" xfId="2" applyFont="1" applyBorder="1" applyAlignment="1">
      <alignment horizontal="center"/>
    </xf>
    <xf numFmtId="43" fontId="12" fillId="0" borderId="0" xfId="3" applyNumberFormat="1" applyFont="1" applyBorder="1" applyAlignment="1">
      <alignment horizontal="center"/>
    </xf>
    <xf numFmtId="17" fontId="12" fillId="0" borderId="0" xfId="3" quotePrefix="1" applyNumberFormat="1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164" fontId="12" fillId="0" borderId="1" xfId="2" applyNumberFormat="1" applyFont="1" applyBorder="1" applyAlignment="1">
      <alignment horizontal="center"/>
    </xf>
    <xf numFmtId="0" fontId="5" fillId="0" borderId="5" xfId="3" applyBorder="1"/>
    <xf numFmtId="164" fontId="12" fillId="0" borderId="3" xfId="2" quotePrefix="1" applyNumberFormat="1" applyFont="1" applyBorder="1" applyAlignment="1">
      <alignment horizontal="center"/>
    </xf>
    <xf numFmtId="0" fontId="12" fillId="0" borderId="7" xfId="3" applyFont="1" applyBorder="1"/>
    <xf numFmtId="0" fontId="12" fillId="0" borderId="8" xfId="3" applyFont="1" applyBorder="1"/>
    <xf numFmtId="17" fontId="12" fillId="0" borderId="4" xfId="3" applyNumberFormat="1" applyFont="1" applyBorder="1" applyAlignment="1">
      <alignment horizontal="center"/>
    </xf>
    <xf numFmtId="164" fontId="12" fillId="0" borderId="4" xfId="2" applyNumberFormat="1" applyFont="1" applyFill="1" applyBorder="1" applyAlignment="1">
      <alignment horizontal="center"/>
    </xf>
    <xf numFmtId="164" fontId="12" fillId="0" borderId="14" xfId="2" applyNumberFormat="1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2" fillId="0" borderId="14" xfId="3" applyFont="1" applyBorder="1"/>
    <xf numFmtId="17" fontId="12" fillId="0" borderId="14" xfId="3" applyNumberFormat="1" applyFont="1" applyBorder="1" applyAlignment="1">
      <alignment horizontal="center"/>
    </xf>
    <xf numFmtId="164" fontId="12" fillId="0" borderId="14" xfId="2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5" fillId="0" borderId="9" xfId="3" applyFont="1" applyBorder="1"/>
    <xf numFmtId="0" fontId="12" fillId="0" borderId="13" xfId="3" applyFont="1" applyBorder="1"/>
    <xf numFmtId="17" fontId="12" fillId="0" borderId="1" xfId="3" applyNumberFormat="1" applyFont="1" applyBorder="1" applyAlignment="1">
      <alignment horizontal="center"/>
    </xf>
    <xf numFmtId="164" fontId="12" fillId="0" borderId="6" xfId="2" applyNumberFormat="1" applyFont="1" applyBorder="1" applyAlignment="1">
      <alignment horizontal="center"/>
    </xf>
    <xf numFmtId="164" fontId="12" fillId="0" borderId="6" xfId="2" applyNumberFormat="1" applyFont="1" applyFill="1" applyBorder="1" applyAlignment="1">
      <alignment horizontal="center"/>
    </xf>
    <xf numFmtId="164" fontId="0" fillId="0" borderId="2" xfId="2" applyNumberFormat="1" applyFont="1" applyFill="1" applyBorder="1"/>
    <xf numFmtId="164" fontId="9" fillId="0" borderId="2" xfId="2" applyNumberFormat="1" applyFont="1" applyFill="1" applyBorder="1" applyAlignment="1">
      <alignment horizontal="right"/>
    </xf>
    <xf numFmtId="0" fontId="9" fillId="0" borderId="10" xfId="3" applyFont="1" applyFill="1" applyBorder="1"/>
    <xf numFmtId="0" fontId="9" fillId="0" borderId="0" xfId="3" applyFont="1" applyFill="1" applyBorder="1"/>
    <xf numFmtId="164" fontId="9" fillId="0" borderId="2" xfId="2" applyNumberFormat="1" applyFont="1" applyFill="1" applyBorder="1"/>
    <xf numFmtId="0" fontId="9" fillId="0" borderId="10" xfId="3" applyFont="1" applyFill="1" applyBorder="1" applyAlignment="1">
      <alignment horizontal="left"/>
    </xf>
    <xf numFmtId="164" fontId="9" fillId="0" borderId="2" xfId="2" quotePrefix="1" applyNumberFormat="1" applyFont="1" applyFill="1" applyBorder="1" applyAlignment="1">
      <alignment horizontal="right"/>
    </xf>
    <xf numFmtId="0" fontId="12" fillId="0" borderId="10" xfId="3" applyFont="1" applyFill="1" applyBorder="1"/>
    <xf numFmtId="0" fontId="12" fillId="0" borderId="10" xfId="3" applyFont="1" applyFill="1" applyBorder="1" applyAlignment="1">
      <alignment horizontal="left"/>
    </xf>
    <xf numFmtId="0" fontId="9" fillId="0" borderId="10" xfId="3" applyFont="1" applyBorder="1"/>
    <xf numFmtId="164" fontId="12" fillId="0" borderId="2" xfId="2" applyNumberFormat="1" applyFont="1" applyFill="1" applyBorder="1"/>
    <xf numFmtId="164" fontId="9" fillId="0" borderId="2" xfId="2" applyNumberFormat="1" applyFont="1" applyBorder="1"/>
    <xf numFmtId="0" fontId="9" fillId="0" borderId="0" xfId="3" applyFont="1" applyBorder="1"/>
    <xf numFmtId="0" fontId="9" fillId="0" borderId="11" xfId="3" applyFont="1" applyBorder="1"/>
    <xf numFmtId="0" fontId="9" fillId="0" borderId="19" xfId="3" applyFont="1" applyBorder="1"/>
    <xf numFmtId="164" fontId="9" fillId="0" borderId="3" xfId="2" applyNumberFormat="1" applyFont="1" applyFill="1" applyBorder="1"/>
    <xf numFmtId="164" fontId="9" fillId="0" borderId="3" xfId="2" applyNumberFormat="1" applyFont="1" applyFill="1" applyBorder="1" applyAlignment="1">
      <alignment horizontal="right"/>
    </xf>
    <xf numFmtId="164" fontId="9" fillId="0" borderId="3" xfId="2" applyNumberFormat="1" applyFont="1" applyBorder="1"/>
    <xf numFmtId="164" fontId="12" fillId="3" borderId="4" xfId="2" applyNumberFormat="1" applyFont="1" applyFill="1" applyBorder="1" applyAlignment="1">
      <alignment horizontal="right"/>
    </xf>
    <xf numFmtId="0" fontId="12" fillId="3" borderId="7" xfId="3" applyFont="1" applyFill="1" applyBorder="1"/>
    <xf numFmtId="0" fontId="9" fillId="3" borderId="8" xfId="3" applyFont="1" applyFill="1" applyBorder="1"/>
    <xf numFmtId="164" fontId="12" fillId="0" borderId="0" xfId="2" applyNumberFormat="1" applyFont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164" fontId="9" fillId="0" borderId="0" xfId="2" applyNumberFormat="1" applyFont="1" applyBorder="1" applyAlignment="1">
      <alignment horizontal="right"/>
    </xf>
    <xf numFmtId="0" fontId="15" fillId="0" borderId="0" xfId="3" applyFont="1"/>
    <xf numFmtId="164" fontId="9" fillId="0" borderId="0" xfId="2" applyNumberFormat="1" applyFont="1" applyFill="1"/>
    <xf numFmtId="164" fontId="9" fillId="0" borderId="1" xfId="2" applyNumberFormat="1" applyFont="1" applyBorder="1"/>
    <xf numFmtId="164" fontId="9" fillId="0" borderId="1" xfId="2" applyNumberFormat="1" applyFont="1" applyBorder="1" applyAlignment="1">
      <alignment horizontal="right"/>
    </xf>
    <xf numFmtId="0" fontId="12" fillId="0" borderId="9" xfId="3" applyFont="1" applyBorder="1" applyAlignment="1">
      <alignment horizontal="left"/>
    </xf>
    <xf numFmtId="0" fontId="12" fillId="0" borderId="6" xfId="3" applyFont="1" applyBorder="1" applyAlignment="1">
      <alignment horizontal="left"/>
    </xf>
    <xf numFmtId="164" fontId="9" fillId="0" borderId="1" xfId="2" applyNumberFormat="1" applyFont="1" applyBorder="1" applyAlignment="1">
      <alignment horizontal="left"/>
    </xf>
    <xf numFmtId="164" fontId="9" fillId="0" borderId="1" xfId="2" applyNumberFormat="1" applyFont="1" applyFill="1" applyBorder="1"/>
    <xf numFmtId="164" fontId="9" fillId="0" borderId="2" xfId="2" applyNumberFormat="1" applyFont="1" applyBorder="1" applyAlignment="1">
      <alignment horizontal="right"/>
    </xf>
    <xf numFmtId="3" fontId="9" fillId="0" borderId="10" xfId="3" applyNumberFormat="1" applyFont="1" applyBorder="1" applyAlignment="1">
      <alignment horizontal="left"/>
    </xf>
    <xf numFmtId="3" fontId="9" fillId="0" borderId="5" xfId="3" applyNumberFormat="1" applyFont="1" applyBorder="1" applyAlignment="1">
      <alignment horizontal="left"/>
    </xf>
    <xf numFmtId="164" fontId="9" fillId="0" borderId="2" xfId="2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left"/>
    </xf>
    <xf numFmtId="3" fontId="9" fillId="3" borderId="8" xfId="3" applyNumberFormat="1" applyFont="1" applyFill="1" applyBorder="1" applyAlignment="1">
      <alignment horizontal="left"/>
    </xf>
    <xf numFmtId="3" fontId="9" fillId="0" borderId="0" xfId="3" applyNumberFormat="1" applyFont="1" applyBorder="1" applyAlignment="1">
      <alignment horizontal="left"/>
    </xf>
    <xf numFmtId="164" fontId="9" fillId="0" borderId="0" xfId="2" applyNumberFormat="1" applyFont="1" applyBorder="1" applyAlignment="1">
      <alignment horizontal="left"/>
    </xf>
    <xf numFmtId="0" fontId="12" fillId="0" borderId="13" xfId="3" applyFont="1" applyBorder="1" applyAlignment="1">
      <alignment horizontal="left"/>
    </xf>
    <xf numFmtId="164" fontId="12" fillId="0" borderId="1" xfId="2" applyNumberFormat="1" applyFont="1" applyBorder="1" applyAlignment="1">
      <alignment horizontal="left"/>
    </xf>
    <xf numFmtId="164" fontId="12" fillId="0" borderId="1" xfId="2" applyNumberFormat="1" applyFont="1" applyBorder="1" applyAlignment="1">
      <alignment horizontal="right"/>
    </xf>
    <xf numFmtId="0" fontId="12" fillId="0" borderId="5" xfId="3" applyFont="1" applyBorder="1" applyAlignment="1">
      <alignment horizontal="left"/>
    </xf>
    <xf numFmtId="3" fontId="9" fillId="0" borderId="11" xfId="3" applyNumberFormat="1" applyFont="1" applyBorder="1" applyAlignment="1">
      <alignment horizontal="left"/>
    </xf>
    <xf numFmtId="3" fontId="9" fillId="0" borderId="12" xfId="3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center"/>
    </xf>
    <xf numFmtId="3" fontId="12" fillId="3" borderId="8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right"/>
    </xf>
    <xf numFmtId="3" fontId="12" fillId="0" borderId="0" xfId="3" applyNumberFormat="1" applyFont="1" applyBorder="1" applyAlignment="1">
      <alignment horizontal="center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Fill="1" applyAlignment="1"/>
    <xf numFmtId="0" fontId="12" fillId="0" borderId="0" xfId="3" applyFont="1" applyAlignment="1"/>
    <xf numFmtId="164" fontId="9" fillId="0" borderId="1" xfId="2" applyNumberFormat="1" applyFont="1" applyFill="1" applyBorder="1" applyAlignment="1">
      <alignment horizontal="right"/>
    </xf>
    <xf numFmtId="3" fontId="9" fillId="0" borderId="9" xfId="3" applyNumberFormat="1" applyFont="1" applyBorder="1" applyAlignment="1">
      <alignment horizontal="left"/>
    </xf>
    <xf numFmtId="3" fontId="9" fillId="0" borderId="6" xfId="3" applyNumberFormat="1" applyFont="1" applyBorder="1" applyAlignment="1">
      <alignment horizontal="left"/>
    </xf>
    <xf numFmtId="164" fontId="9" fillId="0" borderId="6" xfId="2" applyNumberFormat="1" applyFont="1" applyBorder="1" applyAlignment="1">
      <alignment horizontal="right"/>
    </xf>
    <xf numFmtId="164" fontId="9" fillId="0" borderId="5" xfId="2" applyNumberFormat="1" applyFont="1" applyBorder="1" applyAlignment="1">
      <alignment horizontal="right"/>
    </xf>
    <xf numFmtId="164" fontId="9" fillId="0" borderId="3" xfId="2" applyNumberFormat="1" applyFont="1" applyBorder="1" applyAlignment="1">
      <alignment horizontal="right"/>
    </xf>
    <xf numFmtId="164" fontId="12" fillId="3" borderId="4" xfId="2" applyNumberFormat="1" applyFont="1" applyFill="1" applyBorder="1"/>
    <xf numFmtId="164" fontId="12" fillId="4" borderId="0" xfId="2" applyNumberFormat="1" applyFont="1" applyFill="1" applyBorder="1" applyAlignment="1">
      <alignment horizontal="right"/>
    </xf>
    <xf numFmtId="164" fontId="12" fillId="4" borderId="9" xfId="2" applyNumberFormat="1" applyFont="1" applyFill="1" applyBorder="1" applyAlignment="1">
      <alignment horizontal="right"/>
    </xf>
    <xf numFmtId="3" fontId="12" fillId="4" borderId="13" xfId="3" applyNumberFormat="1" applyFont="1" applyFill="1" applyBorder="1" applyAlignment="1">
      <alignment horizontal="center"/>
    </xf>
    <xf numFmtId="164" fontId="12" fillId="4" borderId="13" xfId="2" applyNumberFormat="1" applyFont="1" applyFill="1" applyBorder="1" applyAlignment="1">
      <alignment horizontal="right"/>
    </xf>
    <xf numFmtId="164" fontId="12" fillId="4" borderId="1" xfId="2" applyNumberFormat="1" applyFont="1" applyFill="1" applyBorder="1" applyAlignment="1">
      <alignment horizontal="right"/>
    </xf>
    <xf numFmtId="164" fontId="12" fillId="0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center"/>
    </xf>
    <xf numFmtId="164" fontId="12" fillId="3" borderId="0" xfId="2" applyNumberFormat="1" applyFont="1" applyFill="1" applyBorder="1" applyAlignment="1">
      <alignment horizontal="right"/>
    </xf>
    <xf numFmtId="164" fontId="12" fillId="3" borderId="10" xfId="2" applyNumberFormat="1" applyFont="1" applyFill="1" applyBorder="1" applyAlignment="1">
      <alignment horizontal="right"/>
    </xf>
    <xf numFmtId="3" fontId="12" fillId="3" borderId="0" xfId="3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left"/>
    </xf>
    <xf numFmtId="164" fontId="9" fillId="0" borderId="9" xfId="2" applyNumberFormat="1" applyFont="1" applyFill="1" applyBorder="1" applyAlignment="1">
      <alignment horizontal="right"/>
    </xf>
    <xf numFmtId="3" fontId="9" fillId="0" borderId="9" xfId="3" applyNumberFormat="1" applyFont="1" applyFill="1" applyBorder="1" applyAlignment="1">
      <alignment horizontal="left"/>
    </xf>
    <xf numFmtId="3" fontId="9" fillId="0" borderId="6" xfId="3" applyNumberFormat="1" applyFont="1" applyFill="1" applyBorder="1" applyAlignment="1">
      <alignment horizontal="center"/>
    </xf>
    <xf numFmtId="164" fontId="9" fillId="0" borderId="10" xfId="2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left"/>
    </xf>
    <xf numFmtId="3" fontId="9" fillId="0" borderId="5" xfId="3" applyNumberFormat="1" applyFont="1" applyFill="1" applyBorder="1" applyAlignment="1">
      <alignment horizontal="center"/>
    </xf>
    <xf numFmtId="164" fontId="12" fillId="3" borderId="9" xfId="2" applyNumberFormat="1" applyFont="1" applyFill="1" applyBorder="1"/>
    <xf numFmtId="3" fontId="12" fillId="3" borderId="9" xfId="3" applyNumberFormat="1" applyFont="1" applyFill="1" applyBorder="1" applyAlignment="1">
      <alignment horizontal="left"/>
    </xf>
    <xf numFmtId="164" fontId="12" fillId="3" borderId="13" xfId="2" applyNumberFormat="1" applyFont="1" applyFill="1" applyBorder="1"/>
    <xf numFmtId="164" fontId="12" fillId="3" borderId="1" xfId="2" applyNumberFormat="1" applyFont="1" applyFill="1" applyBorder="1"/>
    <xf numFmtId="3" fontId="12" fillId="3" borderId="10" xfId="3" applyNumberFormat="1" applyFont="1" applyFill="1" applyBorder="1" applyAlignment="1">
      <alignment horizontal="center"/>
    </xf>
    <xf numFmtId="3" fontId="12" fillId="3" borderId="10" xfId="3" applyNumberFormat="1" applyFont="1" applyFill="1" applyBorder="1" applyAlignment="1">
      <alignment horizontal="left"/>
    </xf>
    <xf numFmtId="164" fontId="12" fillId="3" borderId="0" xfId="2" applyNumberFormat="1" applyFont="1" applyFill="1" applyBorder="1"/>
    <xf numFmtId="164" fontId="12" fillId="3" borderId="2" xfId="2" applyNumberFormat="1" applyFont="1" applyFill="1" applyBorder="1"/>
    <xf numFmtId="164" fontId="12" fillId="3" borderId="5" xfId="2" applyNumberFormat="1" applyFont="1" applyFill="1" applyBorder="1"/>
    <xf numFmtId="43" fontId="0" fillId="0" borderId="0" xfId="4" applyFont="1"/>
    <xf numFmtId="3" fontId="12" fillId="3" borderId="11" xfId="3" applyNumberFormat="1" applyFont="1" applyFill="1" applyBorder="1" applyAlignment="1">
      <alignment horizontal="center"/>
    </xf>
    <xf numFmtId="3" fontId="12" fillId="3" borderId="11" xfId="3" applyNumberFormat="1" applyFont="1" applyFill="1" applyBorder="1" applyAlignment="1">
      <alignment horizontal="left"/>
    </xf>
    <xf numFmtId="164" fontId="12" fillId="3" borderId="19" xfId="2" applyNumberFormat="1" applyFont="1" applyFill="1" applyBorder="1"/>
    <xf numFmtId="164" fontId="12" fillId="3" borderId="3" xfId="2" applyNumberFormat="1" applyFont="1" applyFill="1" applyBorder="1"/>
    <xf numFmtId="3" fontId="12" fillId="0" borderId="9" xfId="3" applyNumberFormat="1" applyFont="1" applyFill="1" applyBorder="1" applyAlignment="1">
      <alignment horizontal="left"/>
    </xf>
    <xf numFmtId="3" fontId="12" fillId="0" borderId="9" xfId="3" applyNumberFormat="1" applyFont="1" applyFill="1" applyBorder="1" applyAlignment="1">
      <alignment horizontal="center"/>
    </xf>
    <xf numFmtId="164" fontId="12" fillId="0" borderId="13" xfId="2" applyNumberFormat="1" applyFont="1" applyFill="1" applyBorder="1"/>
    <xf numFmtId="0" fontId="12" fillId="0" borderId="13" xfId="3" applyFont="1" applyFill="1" applyBorder="1"/>
    <xf numFmtId="164" fontId="12" fillId="0" borderId="6" xfId="2" applyNumberFormat="1" applyFont="1" applyFill="1" applyBorder="1"/>
    <xf numFmtId="3" fontId="12" fillId="0" borderId="10" xfId="3" applyNumberFormat="1" applyFont="1" applyFill="1" applyBorder="1" applyAlignment="1">
      <alignment horizontal="left"/>
    </xf>
    <xf numFmtId="3" fontId="12" fillId="0" borderId="10" xfId="3" applyNumberFormat="1" applyFont="1" applyFill="1" applyBorder="1" applyAlignment="1">
      <alignment horizontal="center"/>
    </xf>
    <xf numFmtId="164" fontId="12" fillId="0" borderId="0" xfId="2" applyNumberFormat="1" applyFont="1" applyFill="1" applyBorder="1"/>
    <xf numFmtId="0" fontId="12" fillId="0" borderId="0" xfId="3" applyFont="1" applyFill="1" applyBorder="1"/>
    <xf numFmtId="164" fontId="12" fillId="0" borderId="5" xfId="2" applyNumberFormat="1" applyFont="1" applyFill="1" applyBorder="1"/>
    <xf numFmtId="164" fontId="9" fillId="0" borderId="12" xfId="2" applyNumberFormat="1" applyFont="1" applyFill="1" applyBorder="1" applyAlignment="1">
      <alignment horizontal="right"/>
    </xf>
    <xf numFmtId="164" fontId="12" fillId="3" borderId="6" xfId="2" applyNumberFormat="1" applyFont="1" applyFill="1" applyBorder="1"/>
    <xf numFmtId="164" fontId="12" fillId="3" borderId="10" xfId="2" applyNumberFormat="1" applyFont="1" applyFill="1" applyBorder="1"/>
    <xf numFmtId="164" fontId="12" fillId="3" borderId="11" xfId="2" applyNumberFormat="1" applyFont="1" applyFill="1" applyBorder="1"/>
    <xf numFmtId="3" fontId="12" fillId="3" borderId="19" xfId="3" applyNumberFormat="1" applyFont="1" applyFill="1" applyBorder="1" applyAlignment="1">
      <alignment horizontal="center"/>
    </xf>
    <xf numFmtId="164" fontId="12" fillId="3" borderId="12" xfId="2" applyNumberFormat="1" applyFont="1" applyFill="1" applyBorder="1"/>
    <xf numFmtId="164" fontId="9" fillId="0" borderId="0" xfId="2" applyNumberFormat="1" applyFont="1" applyBorder="1"/>
    <xf numFmtId="164" fontId="9" fillId="0" borderId="0" xfId="2" applyNumberFormat="1" applyFont="1" applyFill="1" applyBorder="1" applyAlignment="1">
      <alignment horizontal="right"/>
    </xf>
    <xf numFmtId="3" fontId="9" fillId="0" borderId="0" xfId="3" applyNumberFormat="1" applyFont="1" applyBorder="1" applyAlignment="1">
      <alignment horizontal="center"/>
    </xf>
    <xf numFmtId="164" fontId="9" fillId="0" borderId="0" xfId="2" applyNumberFormat="1" applyFont="1" applyFill="1" applyBorder="1"/>
    <xf numFmtId="0" fontId="13" fillId="0" borderId="0" xfId="3" applyFont="1"/>
    <xf numFmtId="164" fontId="12" fillId="4" borderId="15" xfId="2" applyNumberFormat="1" applyFont="1" applyFill="1" applyBorder="1" applyAlignment="1">
      <alignment horizontal="right"/>
    </xf>
    <xf numFmtId="0" fontId="12" fillId="4" borderId="15" xfId="3" applyFont="1" applyFill="1" applyBorder="1"/>
    <xf numFmtId="43" fontId="14" fillId="0" borderId="0" xfId="4" applyFont="1"/>
    <xf numFmtId="0" fontId="14" fillId="0" borderId="0" xfId="3" applyFont="1"/>
    <xf numFmtId="164" fontId="13" fillId="0" borderId="0" xfId="2" applyNumberFormat="1" applyFont="1"/>
    <xf numFmtId="164" fontId="13" fillId="0" borderId="0" xfId="2" applyNumberFormat="1" applyFont="1" applyFill="1"/>
    <xf numFmtId="43" fontId="5" fillId="0" borderId="0" xfId="2" applyFont="1"/>
    <xf numFmtId="164" fontId="5" fillId="0" borderId="0" xfId="4" applyNumberFormat="1" applyFont="1"/>
    <xf numFmtId="164" fontId="14" fillId="0" borderId="0" xfId="3" applyNumberFormat="1" applyFont="1" applyFill="1"/>
    <xf numFmtId="0" fontId="5" fillId="0" borderId="0" xfId="3" applyAlignment="1">
      <alignment horizontal="right"/>
    </xf>
    <xf numFmtId="164" fontId="5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43" fontId="5" fillId="0" borderId="0" xfId="3" applyNumberFormat="1" applyAlignment="1">
      <alignment horizontal="right"/>
    </xf>
    <xf numFmtId="164" fontId="5" fillId="0" borderId="0" xfId="3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43" fontId="14" fillId="0" borderId="0" xfId="1" applyFont="1"/>
    <xf numFmtId="43" fontId="5" fillId="0" borderId="0" xfId="1" applyFont="1" applyFill="1"/>
    <xf numFmtId="164" fontId="9" fillId="2" borderId="2" xfId="2" applyNumberFormat="1" applyFont="1" applyFill="1" applyBorder="1"/>
    <xf numFmtId="43" fontId="5" fillId="0" borderId="0" xfId="3" applyNumberFormat="1"/>
    <xf numFmtId="0" fontId="9" fillId="0" borderId="0" xfId="3" applyFont="1" applyFill="1"/>
    <xf numFmtId="43" fontId="9" fillId="0" borderId="0" xfId="1" applyFont="1" applyFill="1"/>
    <xf numFmtId="0" fontId="5" fillId="0" borderId="1" xfId="3" applyBorder="1"/>
    <xf numFmtId="43" fontId="9" fillId="0" borderId="2" xfId="1" applyFont="1" applyBorder="1"/>
    <xf numFmtId="43" fontId="5" fillId="0" borderId="2" xfId="1" applyFont="1" applyBorder="1"/>
    <xf numFmtId="0" fontId="9" fillId="0" borderId="2" xfId="3" applyFont="1" applyBorder="1"/>
    <xf numFmtId="164" fontId="9" fillId="0" borderId="3" xfId="1" applyNumberFormat="1" applyFont="1" applyBorder="1" applyAlignment="1">
      <alignment horizontal="left"/>
    </xf>
    <xf numFmtId="43" fontId="5" fillId="0" borderId="3" xfId="1" applyFont="1" applyBorder="1"/>
    <xf numFmtId="0" fontId="9" fillId="0" borderId="21" xfId="3" applyFont="1" applyBorder="1"/>
    <xf numFmtId="43" fontId="9" fillId="0" borderId="21" xfId="1" applyFont="1" applyBorder="1"/>
    <xf numFmtId="43" fontId="5" fillId="0" borderId="21" xfId="1" applyFont="1" applyBorder="1"/>
    <xf numFmtId="0" fontId="5" fillId="0" borderId="21" xfId="3" applyBorder="1"/>
    <xf numFmtId="0" fontId="5" fillId="0" borderId="2" xfId="3" applyBorder="1"/>
    <xf numFmtId="164" fontId="12" fillId="0" borderId="21" xfId="1" applyNumberFormat="1" applyFont="1" applyBorder="1" applyAlignment="1">
      <alignment horizontal="center"/>
    </xf>
    <xf numFmtId="0" fontId="9" fillId="0" borderId="3" xfId="3" applyFont="1" applyBorder="1"/>
    <xf numFmtId="43" fontId="9" fillId="0" borderId="3" xfId="1" applyFont="1" applyBorder="1"/>
    <xf numFmtId="164" fontId="12" fillId="3" borderId="21" xfId="2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17" fontId="12" fillId="0" borderId="4" xfId="0" applyNumberFormat="1" applyFont="1" applyFill="1" applyBorder="1" applyAlignment="1">
      <alignment horizontal="center"/>
    </xf>
    <xf numFmtId="0" fontId="12" fillId="0" borderId="9" xfId="3" applyFont="1" applyBorder="1" applyAlignment="1">
      <alignment horizontal="center"/>
    </xf>
    <xf numFmtId="164" fontId="9" fillId="0" borderId="9" xfId="2" applyNumberFormat="1" applyFont="1" applyBorder="1" applyAlignment="1">
      <alignment horizontal="right"/>
    </xf>
    <xf numFmtId="164" fontId="9" fillId="0" borderId="10" xfId="2" applyNumberFormat="1" applyFont="1" applyBorder="1" applyAlignment="1">
      <alignment horizontal="right"/>
    </xf>
    <xf numFmtId="164" fontId="9" fillId="0" borderId="13" xfId="2" applyNumberFormat="1" applyFont="1" applyBorder="1" applyAlignment="1">
      <alignment horizontal="right"/>
    </xf>
    <xf numFmtId="49" fontId="5" fillId="0" borderId="0" xfId="4" applyNumberFormat="1" applyFont="1"/>
    <xf numFmtId="164" fontId="12" fillId="0" borderId="0" xfId="3" applyNumberFormat="1" applyFont="1" applyFill="1" applyAlignment="1"/>
    <xf numFmtId="3" fontId="12" fillId="0" borderId="0" xfId="3" applyNumberFormat="1" applyFont="1" applyAlignment="1"/>
    <xf numFmtId="0" fontId="9" fillId="0" borderId="9" xfId="3" applyFont="1" applyBorder="1" applyAlignment="1">
      <alignment horizontal="left"/>
    </xf>
    <xf numFmtId="0" fontId="12" fillId="0" borderId="7" xfId="3" applyFont="1" applyFill="1" applyBorder="1"/>
    <xf numFmtId="0" fontId="9" fillId="0" borderId="8" xfId="3" applyFont="1" applyFill="1" applyBorder="1"/>
    <xf numFmtId="164" fontId="12" fillId="0" borderId="4" xfId="2" applyNumberFormat="1" applyFont="1" applyFill="1" applyBorder="1" applyAlignment="1">
      <alignment horizontal="right"/>
    </xf>
    <xf numFmtId="0" fontId="12" fillId="0" borderId="0" xfId="3" applyFont="1" applyBorder="1" applyAlignment="1">
      <alignment horizontal="left"/>
    </xf>
    <xf numFmtId="0" fontId="5" fillId="0" borderId="0" xfId="3" applyBorder="1"/>
    <xf numFmtId="0" fontId="5" fillId="0" borderId="7" xfId="3" applyBorder="1"/>
    <xf numFmtId="0" fontId="5" fillId="0" borderId="8" xfId="3" applyBorder="1"/>
    <xf numFmtId="164" fontId="9" fillId="0" borderId="21" xfId="2" applyNumberFormat="1" applyFont="1" applyFill="1" applyBorder="1"/>
    <xf numFmtId="0" fontId="9" fillId="0" borderId="10" xfId="3" applyFont="1" applyBorder="1" applyAlignment="1">
      <alignment horizontal="left"/>
    </xf>
    <xf numFmtId="0" fontId="5" fillId="0" borderId="10" xfId="3" applyBorder="1"/>
    <xf numFmtId="0" fontId="5" fillId="0" borderId="11" xfId="3" applyBorder="1"/>
    <xf numFmtId="0" fontId="5" fillId="0" borderId="19" xfId="3" applyBorder="1"/>
    <xf numFmtId="164" fontId="9" fillId="0" borderId="21" xfId="1" applyNumberFormat="1" applyFont="1" applyBorder="1" applyAlignment="1">
      <alignment horizontal="right"/>
    </xf>
    <xf numFmtId="164" fontId="9" fillId="0" borderId="21" xfId="1" applyNumberFormat="1" applyFont="1" applyBorder="1"/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2" xfId="1" applyNumberFormat="1" applyFont="1" applyFill="1" applyBorder="1"/>
    <xf numFmtId="164" fontId="5" fillId="0" borderId="3" xfId="1" applyNumberFormat="1" applyFont="1" applyFill="1" applyBorder="1"/>
    <xf numFmtId="0" fontId="5" fillId="0" borderId="22" xfId="3" applyBorder="1"/>
    <xf numFmtId="0" fontId="5" fillId="0" borderId="17" xfId="3" applyBorder="1"/>
    <xf numFmtId="164" fontId="5" fillId="0" borderId="17" xfId="3" applyNumberFormat="1" applyBorder="1" applyAlignment="1">
      <alignment horizontal="right"/>
    </xf>
    <xf numFmtId="164" fontId="5" fillId="0" borderId="23" xfId="3" applyNumberFormat="1" applyBorder="1" applyAlignment="1">
      <alignment horizontal="right"/>
    </xf>
    <xf numFmtId="0" fontId="7" fillId="0" borderId="0" xfId="3" applyFont="1"/>
    <xf numFmtId="43" fontId="5" fillId="0" borderId="21" xfId="3" applyNumberFormat="1" applyBorder="1"/>
    <xf numFmtId="43" fontId="5" fillId="0" borderId="2" xfId="3" applyNumberFormat="1" applyBorder="1"/>
    <xf numFmtId="0" fontId="5" fillId="0" borderId="3" xfId="3" applyBorder="1"/>
    <xf numFmtId="43" fontId="5" fillId="0" borderId="3" xfId="3" applyNumberFormat="1" applyBorder="1"/>
    <xf numFmtId="43" fontId="5" fillId="0" borderId="2" xfId="3" applyNumberFormat="1" applyFont="1" applyBorder="1"/>
    <xf numFmtId="43" fontId="5" fillId="0" borderId="3" xfId="3" applyNumberFormat="1" applyFont="1" applyBorder="1"/>
    <xf numFmtId="17" fontId="5" fillId="0" borderId="2" xfId="1" applyNumberFormat="1" applyFont="1" applyBorder="1"/>
    <xf numFmtId="43" fontId="7" fillId="0" borderId="2" xfId="1" applyFont="1" applyBorder="1"/>
    <xf numFmtId="164" fontId="5" fillId="0" borderId="0" xfId="3" applyNumberFormat="1"/>
    <xf numFmtId="3" fontId="9" fillId="0" borderId="5" xfId="3" applyNumberFormat="1" applyFont="1" applyFill="1" applyBorder="1" applyAlignment="1">
      <alignment horizontal="left"/>
    </xf>
    <xf numFmtId="164" fontId="5" fillId="0" borderId="0" xfId="4" applyNumberFormat="1" applyFont="1" applyFill="1"/>
    <xf numFmtId="43" fontId="5" fillId="0" borderId="0" xfId="3" applyNumberFormat="1" applyFill="1"/>
    <xf numFmtId="43" fontId="5" fillId="0" borderId="2" xfId="1" applyFont="1" applyFill="1" applyBorder="1"/>
    <xf numFmtId="43" fontId="5" fillId="0" borderId="2" xfId="3" applyNumberFormat="1" applyFill="1" applyBorder="1"/>
    <xf numFmtId="0" fontId="11" fillId="0" borderId="0" xfId="3" applyFont="1" applyFill="1" applyBorder="1" applyAlignment="1"/>
    <xf numFmtId="17" fontId="23" fillId="0" borderId="0" xfId="3" applyNumberFormat="1" applyFont="1" applyBorder="1" applyAlignment="1"/>
    <xf numFmtId="17" fontId="8" fillId="0" borderId="0" xfId="3" quotePrefix="1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164" fontId="12" fillId="0" borderId="24" xfId="2" applyNumberFormat="1" applyFont="1" applyBorder="1" applyAlignment="1">
      <alignment horizontal="center"/>
    </xf>
    <xf numFmtId="164" fontId="12" fillId="0" borderId="24" xfId="2" applyNumberFormat="1" applyFont="1" applyFill="1" applyBorder="1" applyAlignment="1">
      <alignment horizontal="center"/>
    </xf>
    <xf numFmtId="0" fontId="24" fillId="0" borderId="9" xfId="3" applyFont="1" applyBorder="1"/>
    <xf numFmtId="0" fontId="12" fillId="0" borderId="21" xfId="3" applyFont="1" applyBorder="1" applyAlignment="1">
      <alignment horizontal="center"/>
    </xf>
    <xf numFmtId="43" fontId="5" fillId="0" borderId="0" xfId="10" applyFont="1" applyFill="1"/>
    <xf numFmtId="0" fontId="12" fillId="3" borderId="25" xfId="3" applyFont="1" applyFill="1" applyBorder="1"/>
    <xf numFmtId="0" fontId="9" fillId="3" borderId="26" xfId="3" applyFont="1" applyFill="1" applyBorder="1"/>
    <xf numFmtId="164" fontId="12" fillId="3" borderId="27" xfId="2" applyNumberFormat="1" applyFont="1" applyFill="1" applyBorder="1" applyAlignment="1">
      <alignment horizontal="right"/>
    </xf>
    <xf numFmtId="0" fontId="24" fillId="0" borderId="0" xfId="3" applyFont="1"/>
    <xf numFmtId="3" fontId="12" fillId="0" borderId="7" xfId="3" applyNumberFormat="1" applyFont="1" applyFill="1" applyBorder="1" applyAlignment="1">
      <alignment horizontal="left"/>
    </xf>
    <xf numFmtId="3" fontId="9" fillId="0" borderId="8" xfId="3" applyNumberFormat="1" applyFont="1" applyFill="1" applyBorder="1" applyAlignment="1">
      <alignment horizontal="left"/>
    </xf>
    <xf numFmtId="3" fontId="12" fillId="0" borderId="8" xfId="3" applyNumberFormat="1" applyFont="1" applyFill="1" applyBorder="1" applyAlignment="1">
      <alignment horizontal="center"/>
    </xf>
    <xf numFmtId="164" fontId="12" fillId="0" borderId="4" xfId="2" applyNumberFormat="1" applyFont="1" applyFill="1" applyBorder="1"/>
    <xf numFmtId="0" fontId="12" fillId="3" borderId="28" xfId="3" applyFont="1" applyFill="1" applyBorder="1"/>
    <xf numFmtId="164" fontId="12" fillId="3" borderId="28" xfId="2" applyNumberFormat="1" applyFont="1" applyFill="1" applyBorder="1" applyAlignment="1">
      <alignment horizontal="right"/>
    </xf>
    <xf numFmtId="3" fontId="12" fillId="5" borderId="7" xfId="3" applyNumberFormat="1" applyFont="1" applyFill="1" applyBorder="1" applyAlignment="1">
      <alignment horizontal="left"/>
    </xf>
    <xf numFmtId="3" fontId="12" fillId="5" borderId="14" xfId="3" applyNumberFormat="1" applyFont="1" applyFill="1" applyBorder="1" applyAlignment="1">
      <alignment horizontal="center"/>
    </xf>
    <xf numFmtId="164" fontId="12" fillId="5" borderId="4" xfId="2" applyNumberFormat="1" applyFont="1" applyFill="1" applyBorder="1" applyAlignment="1">
      <alignment horizontal="right"/>
    </xf>
    <xf numFmtId="164" fontId="12" fillId="5" borderId="14" xfId="2" applyNumberFormat="1" applyFont="1" applyFill="1" applyBorder="1"/>
    <xf numFmtId="164" fontId="12" fillId="5" borderId="12" xfId="2" applyNumberFormat="1" applyFont="1" applyFill="1" applyBorder="1"/>
    <xf numFmtId="0" fontId="12" fillId="0" borderId="21" xfId="3" applyFont="1" applyFill="1" applyBorder="1"/>
    <xf numFmtId="3" fontId="9" fillId="0" borderId="10" xfId="3" applyNumberFormat="1" applyFont="1" applyBorder="1" applyAlignment="1">
      <alignment horizontal="center"/>
    </xf>
    <xf numFmtId="0" fontId="12" fillId="4" borderId="29" xfId="3" applyFont="1" applyFill="1" applyBorder="1"/>
    <xf numFmtId="43" fontId="9" fillId="0" borderId="0" xfId="2" applyNumberFormat="1" applyFont="1" applyFill="1" applyBorder="1" applyAlignment="1">
      <alignment horizontal="right"/>
    </xf>
    <xf numFmtId="164" fontId="8" fillId="0" borderId="0" xfId="2" applyNumberFormat="1" applyFont="1" applyFill="1"/>
    <xf numFmtId="43" fontId="8" fillId="0" borderId="0" xfId="10" applyFont="1" applyFill="1"/>
    <xf numFmtId="0" fontId="8" fillId="0" borderId="0" xfId="3" applyFont="1" applyFill="1"/>
    <xf numFmtId="49" fontId="5" fillId="0" borderId="0" xfId="10" applyNumberFormat="1" applyFont="1" applyFill="1"/>
    <xf numFmtId="44" fontId="5" fillId="0" borderId="0" xfId="11" applyFont="1" applyFill="1" applyAlignment="1">
      <alignment horizontal="left" indent="1"/>
    </xf>
    <xf numFmtId="164" fontId="5" fillId="0" borderId="0" xfId="10" applyNumberFormat="1" applyFont="1" applyFill="1"/>
    <xf numFmtId="164" fontId="12" fillId="0" borderId="3" xfId="2" applyNumberFormat="1" applyFont="1" applyFill="1" applyBorder="1" applyAlignment="1">
      <alignment horizontal="right"/>
    </xf>
    <xf numFmtId="164" fontId="12" fillId="0" borderId="21" xfId="2" applyNumberFormat="1" applyFont="1" applyFill="1" applyBorder="1"/>
    <xf numFmtId="164" fontId="12" fillId="0" borderId="15" xfId="2" applyNumberFormat="1" applyFont="1" applyFill="1" applyBorder="1" applyAlignment="1">
      <alignment horizontal="right"/>
    </xf>
    <xf numFmtId="0" fontId="14" fillId="0" borderId="0" xfId="3" applyFont="1" applyFill="1"/>
    <xf numFmtId="43" fontId="14" fillId="0" borderId="0" xfId="10" applyFont="1" applyFill="1"/>
    <xf numFmtId="43" fontId="5" fillId="0" borderId="0" xfId="3" applyNumberFormat="1" applyFill="1" applyAlignment="1">
      <alignment horizontal="right"/>
    </xf>
    <xf numFmtId="49" fontId="12" fillId="0" borderId="3" xfId="2" applyNumberFormat="1" applyFont="1" applyBorder="1" applyAlignment="1">
      <alignment horizontal="center"/>
    </xf>
    <xf numFmtId="44" fontId="5" fillId="0" borderId="0" xfId="12" applyFont="1" applyFill="1"/>
    <xf numFmtId="0" fontId="22" fillId="0" borderId="0" xfId="3" applyFont="1" applyAlignment="1"/>
    <xf numFmtId="0" fontId="15" fillId="0" borderId="0" xfId="3" applyFont="1" applyAlignment="1"/>
    <xf numFmtId="44" fontId="5" fillId="0" borderId="0" xfId="12" applyFont="1"/>
    <xf numFmtId="0" fontId="8" fillId="0" borderId="0" xfId="3" applyFont="1" applyAlignment="1">
      <alignment horizontal="center"/>
    </xf>
    <xf numFmtId="17" fontId="11" fillId="0" borderId="0" xfId="3" applyNumberFormat="1" applyFont="1" applyBorder="1" applyAlignment="1">
      <alignment horizontal="center"/>
    </xf>
    <xf numFmtId="17" fontId="11" fillId="0" borderId="0" xfId="3" quotePrefix="1" applyNumberFormat="1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3" applyFont="1" applyAlignment="1">
      <alignment horizontal="center"/>
    </xf>
    <xf numFmtId="0" fontId="15" fillId="0" borderId="0" xfId="3" applyFont="1" applyAlignment="1">
      <alignment horizontal="center"/>
    </xf>
  </cellXfs>
  <cellStyles count="13">
    <cellStyle name="Millares" xfId="1" builtinId="3"/>
    <cellStyle name="Millares 2" xfId="2"/>
    <cellStyle name="Millares 3" xfId="4"/>
    <cellStyle name="Millares 3 2" xfId="9"/>
    <cellStyle name="Millares 3 3" xfId="10"/>
    <cellStyle name="Millares 4" xfId="7"/>
    <cellStyle name="Moneda" xfId="12" builtinId="4"/>
    <cellStyle name="Moneda 2" xfId="11"/>
    <cellStyle name="Normal" xfId="0" builtinId="0"/>
    <cellStyle name="Normal 2" xfId="3"/>
    <cellStyle name="Normal 3" xfId="5"/>
    <cellStyle name="Normal 4" xfId="6"/>
    <cellStyle name="Porcentual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38100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33475" y="37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3475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queryTables/queryTable1.xml><?xml version="1.0" encoding="utf-8"?>
<queryTable xmlns="http://schemas.openxmlformats.org/spreadsheetml/2006/main" name="Consulta desde VisionDatc" connectionId="1" autoFormatId="16" applyNumberFormats="0" applyBorderFormats="0" applyFontFormats="1" applyPatternFormats="1" applyAlignmentFormats="0" applyWidthHeightFormats="0">
  <queryTableRefresh nextId="15">
    <queryTableFields count="6">
      <queryTableField id="1" name="trab"/>
      <queryTableField id="14" dataBound="0" fillFormulas="1"/>
      <queryTableField id="11" dataBound="0" fillFormulas="1"/>
      <queryTableField id="5" name="rfc"/>
      <queryTableField id="12" dataBound="0" fillFormulas="1"/>
      <queryTableField id="13" dataBound="0" fillFormulas="1"/>
    </queryTableFields>
    <queryTableDeletedFields count="8">
      <deletedField name="antig_r"/>
      <deletedField name="f_baja"/>
      <deletedField name="paterno"/>
      <deletedField name="materno"/>
      <deletedField name="nombre"/>
      <deletedField name="planta"/>
      <deletedField name="antig_z"/>
      <deletedField name="imss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74"/>
  <sheetViews>
    <sheetView zoomScale="76" zoomScaleNormal="76" workbookViewId="0">
      <pane xSplit="6" ySplit="9" topLeftCell="Q10" activePane="bottomRight" state="frozen"/>
      <selection pane="topRight" activeCell="G1" sqref="G1"/>
      <selection pane="bottomLeft" activeCell="A10" sqref="A10"/>
      <selection pane="bottomRight" activeCell="T30" sqref="T30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1.85546875" style="260" bestFit="1" customWidth="1"/>
    <col min="8" max="16" width="11.85546875" style="415" bestFit="1" customWidth="1"/>
    <col min="17" max="17" width="14.5703125" style="415" customWidth="1"/>
    <col min="18" max="18" width="14.42578125" style="415" customWidth="1"/>
    <col min="19" max="19" width="14.42578125" style="415" hidden="1" customWidth="1"/>
    <col min="20" max="20" width="15.7109375" style="415" customWidth="1"/>
    <col min="21" max="21" width="17.28515625" style="265" customWidth="1"/>
    <col min="22" max="22" width="12.85546875" style="261" bestFit="1" customWidth="1"/>
    <col min="23" max="23" width="13.85546875" style="262" bestFit="1" customWidth="1"/>
    <col min="24" max="24" width="14.5703125" style="260" bestFit="1" customWidth="1"/>
    <col min="25" max="34" width="12.85546875" style="260" bestFit="1" customWidth="1"/>
    <col min="35" max="35" width="13.140625" style="260" customWidth="1"/>
    <col min="36" max="36" width="14.28515625" style="260" customWidth="1"/>
    <col min="37" max="16384" width="11.42578125" style="260"/>
  </cols>
  <sheetData>
    <row r="1" spans="1:36" ht="20.25">
      <c r="C1" s="536" t="s">
        <v>2</v>
      </c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X1" s="46"/>
      <c r="Y1" s="46"/>
      <c r="Z1" s="46"/>
    </row>
    <row r="2" spans="1:36">
      <c r="E2" s="263"/>
      <c r="F2" s="263"/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X2" s="46"/>
      <c r="Y2" s="46"/>
      <c r="Z2" s="46"/>
    </row>
    <row r="3" spans="1:36" ht="15.75">
      <c r="E3" s="537" t="s">
        <v>3</v>
      </c>
      <c r="F3" s="538"/>
      <c r="G3" s="538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X3" s="424"/>
      <c r="Y3" s="424"/>
      <c r="Z3" s="424"/>
    </row>
    <row r="4" spans="1:36" ht="15.75">
      <c r="E4" s="266" t="s">
        <v>335</v>
      </c>
      <c r="F4" s="267"/>
      <c r="G4" s="267"/>
      <c r="H4" s="268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</row>
    <row r="5" spans="1:36" ht="15">
      <c r="E5" s="270"/>
      <c r="F5" s="270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2"/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3">
        <v>4</v>
      </c>
      <c r="AE5" s="3">
        <v>4</v>
      </c>
      <c r="AF5" s="3">
        <v>5</v>
      </c>
      <c r="AG5" s="230">
        <v>4</v>
      </c>
      <c r="AH5" s="3">
        <v>4</v>
      </c>
      <c r="AI5" s="3">
        <v>5</v>
      </c>
      <c r="AJ5"/>
    </row>
    <row r="6" spans="1:36" ht="9" customHeight="1">
      <c r="E6" s="273"/>
      <c r="F6" s="273"/>
      <c r="G6" s="270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X6"/>
      <c r="Y6"/>
      <c r="Z6"/>
      <c r="AA6"/>
      <c r="AB6"/>
      <c r="AC6"/>
      <c r="AD6"/>
      <c r="AE6"/>
      <c r="AF6"/>
      <c r="AG6" s="161"/>
      <c r="AH6"/>
      <c r="AI6"/>
      <c r="AJ6"/>
    </row>
    <row r="7" spans="1:36" ht="15" customHeight="1">
      <c r="C7" s="275" t="s">
        <v>136</v>
      </c>
      <c r="D7" s="275" t="s">
        <v>136</v>
      </c>
      <c r="E7" s="273"/>
      <c r="F7" s="273"/>
      <c r="G7" s="270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5" t="s">
        <v>136</v>
      </c>
      <c r="U7" s="275" t="s">
        <v>139</v>
      </c>
      <c r="X7"/>
      <c r="Y7"/>
      <c r="Z7"/>
      <c r="AA7"/>
      <c r="AB7"/>
      <c r="AC7"/>
      <c r="AD7"/>
      <c r="AE7"/>
      <c r="AF7"/>
      <c r="AG7" s="161"/>
      <c r="AH7"/>
      <c r="AI7"/>
      <c r="AJ7" s="438" t="s">
        <v>139</v>
      </c>
    </row>
    <row r="8" spans="1:36" ht="15">
      <c r="B8" s="276"/>
      <c r="C8" s="277" t="s">
        <v>137</v>
      </c>
      <c r="D8" s="277" t="s">
        <v>138</v>
      </c>
      <c r="E8" s="278" t="s">
        <v>77</v>
      </c>
      <c r="F8" s="279"/>
      <c r="G8" s="280">
        <v>40544</v>
      </c>
      <c r="H8" s="280">
        <v>40575</v>
      </c>
      <c r="I8" s="280">
        <v>40603</v>
      </c>
      <c r="J8" s="280">
        <v>40634</v>
      </c>
      <c r="K8" s="280">
        <v>40664</v>
      </c>
      <c r="L8" s="280">
        <v>40695</v>
      </c>
      <c r="M8" s="280">
        <v>40725</v>
      </c>
      <c r="N8" s="280">
        <v>40756</v>
      </c>
      <c r="O8" s="280">
        <v>40787</v>
      </c>
      <c r="P8" s="280">
        <v>40817</v>
      </c>
      <c r="Q8" s="280">
        <v>40848</v>
      </c>
      <c r="R8" s="280">
        <v>40878</v>
      </c>
      <c r="S8" s="280">
        <v>40909</v>
      </c>
      <c r="T8" s="277" t="s">
        <v>334</v>
      </c>
      <c r="U8" s="277" t="s">
        <v>334</v>
      </c>
      <c r="V8" s="281" t="s">
        <v>92</v>
      </c>
      <c r="X8" s="65">
        <v>40909</v>
      </c>
      <c r="Y8" s="65">
        <v>40940</v>
      </c>
      <c r="Z8" s="65">
        <v>40969</v>
      </c>
      <c r="AA8" s="65">
        <v>41000</v>
      </c>
      <c r="AB8" s="65">
        <v>41030</v>
      </c>
      <c r="AC8" s="65">
        <v>41061</v>
      </c>
      <c r="AD8" s="65">
        <v>41091</v>
      </c>
      <c r="AE8" s="65">
        <v>41122</v>
      </c>
      <c r="AF8" s="65">
        <v>41153</v>
      </c>
      <c r="AG8" s="231">
        <v>41183</v>
      </c>
      <c r="AH8" s="65">
        <v>41214</v>
      </c>
      <c r="AI8" s="65">
        <v>41244</v>
      </c>
      <c r="AJ8" s="156" t="s">
        <v>337</v>
      </c>
    </row>
    <row r="9" spans="1:36" ht="15">
      <c r="C9" s="282"/>
      <c r="D9" s="283"/>
      <c r="E9" s="284"/>
      <c r="F9" s="284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3"/>
      <c r="U9" s="282"/>
      <c r="V9" s="286"/>
    </row>
    <row r="10" spans="1:36" ht="18">
      <c r="C10" s="275"/>
      <c r="D10" s="287"/>
      <c r="E10" s="288" t="s">
        <v>4</v>
      </c>
      <c r="F10" s="289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87"/>
      <c r="U10" s="291"/>
      <c r="V10" s="292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436"/>
    </row>
    <row r="11" spans="1:36">
      <c r="C11" s="293"/>
      <c r="D11" s="294"/>
      <c r="E11" s="295"/>
      <c r="F11" s="296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7"/>
      <c r="V11" s="297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437"/>
    </row>
    <row r="12" spans="1:36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297">
        <v>18700</v>
      </c>
      <c r="H12" s="294">
        <v>12795</v>
      </c>
      <c r="I12" s="294">
        <v>39770</v>
      </c>
      <c r="J12" s="294">
        <v>49055</v>
      </c>
      <c r="K12" s="294">
        <v>23420</v>
      </c>
      <c r="L12" s="294">
        <v>19183</v>
      </c>
      <c r="M12" s="294">
        <v>18895</v>
      </c>
      <c r="N12" s="294">
        <v>15120</v>
      </c>
      <c r="O12" s="294">
        <v>14525</v>
      </c>
      <c r="P12" s="294">
        <v>24893</v>
      </c>
      <c r="Q12" s="294">
        <v>26330</v>
      </c>
      <c r="R12" s="294">
        <v>33333</v>
      </c>
      <c r="S12" s="294"/>
      <c r="T12" s="294">
        <f t="shared" ref="T12:T34" si="0">SUM(G12:R12)+S12</f>
        <v>296019</v>
      </c>
      <c r="U12" s="297">
        <v>366666.67</v>
      </c>
      <c r="V12" s="297">
        <f>+T12-U12</f>
        <v>-70647.669999999984</v>
      </c>
      <c r="X12" s="297">
        <v>18700</v>
      </c>
      <c r="Y12" s="294">
        <v>12795</v>
      </c>
      <c r="Z12" s="294">
        <v>39770</v>
      </c>
      <c r="AA12" s="294">
        <v>49055</v>
      </c>
      <c r="AB12" s="294">
        <v>23420</v>
      </c>
      <c r="AC12" s="294">
        <v>19183</v>
      </c>
      <c r="AD12" s="294">
        <v>18895</v>
      </c>
      <c r="AE12" s="294">
        <v>15120</v>
      </c>
      <c r="AF12" s="294">
        <v>14525</v>
      </c>
      <c r="AG12" s="294">
        <v>24893</v>
      </c>
      <c r="AH12" s="294">
        <v>26330</v>
      </c>
      <c r="AI12" s="294">
        <v>24893</v>
      </c>
      <c r="AJ12" s="429">
        <f>SUM(X12:AI12)</f>
        <v>287579</v>
      </c>
    </row>
    <row r="13" spans="1:36">
      <c r="A13" s="263"/>
      <c r="B13" s="263"/>
      <c r="C13" s="297">
        <v>54361.250000000007</v>
      </c>
      <c r="D13" s="294">
        <v>65698.58</v>
      </c>
      <c r="E13" s="298" t="s">
        <v>13</v>
      </c>
      <c r="F13" s="296"/>
      <c r="G13" s="297">
        <v>3343.1</v>
      </c>
      <c r="H13" s="294">
        <v>4253.45</v>
      </c>
      <c r="I13" s="294">
        <v>5710.35</v>
      </c>
      <c r="J13" s="294">
        <v>3279.3</v>
      </c>
      <c r="K13" s="294">
        <v>3775</v>
      </c>
      <c r="L13" s="299">
        <v>4009</v>
      </c>
      <c r="M13" s="294">
        <v>4408.62</v>
      </c>
      <c r="N13" s="294">
        <v>4270.6899999999996</v>
      </c>
      <c r="O13" s="294">
        <v>5305.17</v>
      </c>
      <c r="P13" s="294">
        <v>3189.66</v>
      </c>
      <c r="Q13" s="294">
        <v>6396.55</v>
      </c>
      <c r="R13" s="294">
        <v>5833</v>
      </c>
      <c r="S13" s="294"/>
      <c r="T13" s="294">
        <f t="shared" si="0"/>
        <v>53773.89</v>
      </c>
      <c r="U13" s="297">
        <v>64166.67</v>
      </c>
      <c r="V13" s="297">
        <f t="shared" ref="V13:V40" si="1">+T13-U13</f>
        <v>-10392.779999999999</v>
      </c>
      <c r="X13" s="297">
        <v>3343.1</v>
      </c>
      <c r="Y13" s="294">
        <v>4253.45</v>
      </c>
      <c r="Z13" s="294">
        <v>5710.35</v>
      </c>
      <c r="AA13" s="294">
        <v>3279.3</v>
      </c>
      <c r="AB13" s="294">
        <v>3775</v>
      </c>
      <c r="AC13" s="299">
        <v>4009</v>
      </c>
      <c r="AD13" s="294">
        <v>4408.62</v>
      </c>
      <c r="AE13" s="294">
        <v>4270.6899999999996</v>
      </c>
      <c r="AF13" s="294">
        <v>5305.17</v>
      </c>
      <c r="AG13" s="294">
        <v>3189.66</v>
      </c>
      <c r="AH13" s="294">
        <v>6396.55</v>
      </c>
      <c r="AI13" s="294">
        <v>3189.66</v>
      </c>
      <c r="AJ13" s="429">
        <f t="shared" ref="AJ13:AJ40" si="2">SUM(X13:AI13)</f>
        <v>51130.55</v>
      </c>
    </row>
    <row r="14" spans="1:36">
      <c r="A14" s="263"/>
      <c r="B14" s="263"/>
      <c r="C14" s="297">
        <v>85831.5</v>
      </c>
      <c r="D14" s="294">
        <v>125562.5</v>
      </c>
      <c r="E14" s="295" t="s">
        <v>12</v>
      </c>
      <c r="F14" s="296"/>
      <c r="G14" s="297">
        <v>617.5</v>
      </c>
      <c r="H14" s="294">
        <v>4082.59</v>
      </c>
      <c r="I14" s="294"/>
      <c r="J14" s="294">
        <v>10141.379999999999</v>
      </c>
      <c r="K14" s="294">
        <v>4676.12</v>
      </c>
      <c r="L14" s="294"/>
      <c r="M14" s="294">
        <v>5189.6499999999996</v>
      </c>
      <c r="N14" s="294">
        <v>18142.240000000002</v>
      </c>
      <c r="O14" s="294"/>
      <c r="P14" s="294"/>
      <c r="Q14" s="294">
        <v>2631.03</v>
      </c>
      <c r="R14" s="294">
        <v>3333</v>
      </c>
      <c r="S14" s="294"/>
      <c r="T14" s="294">
        <f t="shared" si="0"/>
        <v>48813.509999999995</v>
      </c>
      <c r="U14" s="297">
        <v>36666.67</v>
      </c>
      <c r="V14" s="297">
        <f t="shared" si="1"/>
        <v>12146.839999999997</v>
      </c>
      <c r="X14" s="297">
        <v>617.5</v>
      </c>
      <c r="Y14" s="294">
        <v>4082.59</v>
      </c>
      <c r="Z14" s="294"/>
      <c r="AA14" s="294">
        <v>10141.379999999999</v>
      </c>
      <c r="AB14" s="294">
        <v>4676.12</v>
      </c>
      <c r="AC14" s="294"/>
      <c r="AD14" s="294">
        <v>5189.6499999999996</v>
      </c>
      <c r="AE14" s="294">
        <v>18142.240000000002</v>
      </c>
      <c r="AF14" s="294"/>
      <c r="AG14" s="294"/>
      <c r="AH14" s="294">
        <v>2631.03</v>
      </c>
      <c r="AI14" s="294"/>
      <c r="AJ14" s="429">
        <f t="shared" si="2"/>
        <v>45480.509999999995</v>
      </c>
    </row>
    <row r="15" spans="1:36">
      <c r="A15" s="263"/>
      <c r="B15" s="263"/>
      <c r="C15" s="297">
        <v>5429.4</v>
      </c>
      <c r="D15" s="294">
        <v>23587.899999999998</v>
      </c>
      <c r="E15" s="295" t="s">
        <v>67</v>
      </c>
      <c r="F15" s="296"/>
      <c r="G15" s="297"/>
      <c r="H15" s="294">
        <v>400</v>
      </c>
      <c r="I15" s="294">
        <v>9759.5</v>
      </c>
      <c r="J15" s="294">
        <v>6125</v>
      </c>
      <c r="K15" s="294">
        <v>2440.6</v>
      </c>
      <c r="L15" s="294">
        <v>6271</v>
      </c>
      <c r="M15" s="294">
        <v>1647.8</v>
      </c>
      <c r="N15" s="294">
        <v>1381.4</v>
      </c>
      <c r="O15" s="294">
        <v>821.9</v>
      </c>
      <c r="P15" s="294">
        <v>2317.5</v>
      </c>
      <c r="Q15" s="294">
        <v>1784</v>
      </c>
      <c r="R15" s="294">
        <v>1667</v>
      </c>
      <c r="S15" s="294"/>
      <c r="T15" s="294">
        <f t="shared" si="0"/>
        <v>34615.699999999997</v>
      </c>
      <c r="U15" s="297">
        <v>18333.330000000002</v>
      </c>
      <c r="V15" s="297">
        <f t="shared" si="1"/>
        <v>16282.369999999995</v>
      </c>
      <c r="X15" s="297"/>
      <c r="Y15" s="294">
        <v>400</v>
      </c>
      <c r="Z15" s="294">
        <v>9759.5</v>
      </c>
      <c r="AA15" s="294">
        <v>6125</v>
      </c>
      <c r="AB15" s="294">
        <v>2440.6</v>
      </c>
      <c r="AC15" s="294">
        <v>6271</v>
      </c>
      <c r="AD15" s="294">
        <v>1647.8</v>
      </c>
      <c r="AE15" s="294">
        <v>1381.4</v>
      </c>
      <c r="AF15" s="294">
        <v>821.9</v>
      </c>
      <c r="AG15" s="294">
        <v>2317.5</v>
      </c>
      <c r="AH15" s="294">
        <v>1784</v>
      </c>
      <c r="AI15" s="294">
        <v>2317.5</v>
      </c>
      <c r="AJ15" s="429">
        <f t="shared" si="2"/>
        <v>35266.199999999997</v>
      </c>
    </row>
    <row r="16" spans="1:36">
      <c r="A16" s="263"/>
      <c r="B16" s="263"/>
      <c r="C16" s="297"/>
      <c r="D16" s="294"/>
      <c r="E16" s="295"/>
      <c r="F16" s="296"/>
      <c r="G16" s="297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>
        <f t="shared" si="0"/>
        <v>0</v>
      </c>
      <c r="U16" s="297"/>
      <c r="V16" s="297">
        <f t="shared" si="1"/>
        <v>0</v>
      </c>
      <c r="X16" s="297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429">
        <f t="shared" si="2"/>
        <v>0</v>
      </c>
    </row>
    <row r="17" spans="1:36" ht="15">
      <c r="A17" s="263"/>
      <c r="B17" s="263"/>
      <c r="C17" s="297"/>
      <c r="D17" s="294"/>
      <c r="E17" s="300" t="s">
        <v>141</v>
      </c>
      <c r="F17" s="296"/>
      <c r="G17" s="297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>
        <f t="shared" si="0"/>
        <v>0</v>
      </c>
      <c r="U17" s="297"/>
      <c r="V17" s="297">
        <f t="shared" si="1"/>
        <v>0</v>
      </c>
      <c r="X17" s="297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429">
        <f t="shared" si="2"/>
        <v>0</v>
      </c>
    </row>
    <row r="18" spans="1:36">
      <c r="A18" s="263"/>
      <c r="B18" s="263"/>
      <c r="C18" s="297">
        <v>0</v>
      </c>
      <c r="D18" s="294">
        <v>0</v>
      </c>
      <c r="E18" s="298" t="s">
        <v>7</v>
      </c>
      <c r="F18" s="296"/>
      <c r="G18" s="297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>
        <f t="shared" si="0"/>
        <v>0</v>
      </c>
      <c r="U18" s="297"/>
      <c r="V18" s="297">
        <f t="shared" si="1"/>
        <v>0</v>
      </c>
      <c r="X18" s="297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429">
        <f t="shared" si="2"/>
        <v>0</v>
      </c>
    </row>
    <row r="19" spans="1:36">
      <c r="A19" s="263"/>
      <c r="B19" s="263"/>
      <c r="C19" s="297">
        <v>744158.53</v>
      </c>
      <c r="D19" s="294">
        <v>287449.43</v>
      </c>
      <c r="E19" s="298" t="s">
        <v>8</v>
      </c>
      <c r="F19" s="296"/>
      <c r="G19" s="297">
        <v>45380.34</v>
      </c>
      <c r="H19" s="294">
        <v>37980</v>
      </c>
      <c r="I19" s="294"/>
      <c r="J19" s="294"/>
      <c r="K19" s="294"/>
      <c r="L19" s="294"/>
      <c r="M19" s="294"/>
      <c r="N19" s="294">
        <v>8620.69</v>
      </c>
      <c r="O19" s="294">
        <v>8620.69</v>
      </c>
      <c r="P19" s="294">
        <v>8620.69</v>
      </c>
      <c r="Q19" s="294">
        <f>55300+40629.31</f>
        <v>95929.31</v>
      </c>
      <c r="R19" s="294">
        <v>20833</v>
      </c>
      <c r="S19" s="294"/>
      <c r="T19" s="294">
        <f t="shared" si="0"/>
        <v>225984.72</v>
      </c>
      <c r="U19" s="297">
        <v>229166.67</v>
      </c>
      <c r="V19" s="297">
        <f t="shared" si="1"/>
        <v>-3181.9500000000116</v>
      </c>
      <c r="X19" s="297">
        <v>45380.34</v>
      </c>
      <c r="Y19" s="294">
        <v>37980</v>
      </c>
      <c r="Z19" s="294"/>
      <c r="AA19" s="294"/>
      <c r="AB19" s="294"/>
      <c r="AC19" s="294"/>
      <c r="AD19" s="294"/>
      <c r="AE19" s="294">
        <v>8620.69</v>
      </c>
      <c r="AF19" s="294">
        <v>8620.69</v>
      </c>
      <c r="AG19" s="294">
        <v>8620.69</v>
      </c>
      <c r="AH19" s="294">
        <f>55300+40629.31</f>
        <v>95929.31</v>
      </c>
      <c r="AI19" s="294">
        <v>8620.69</v>
      </c>
      <c r="AJ19" s="429">
        <f t="shared" si="2"/>
        <v>213772.41</v>
      </c>
    </row>
    <row r="20" spans="1:36">
      <c r="A20" s="263"/>
      <c r="B20" s="263"/>
      <c r="C20" s="297">
        <v>1304.3499999999999</v>
      </c>
      <c r="D20" s="294">
        <v>0</v>
      </c>
      <c r="E20" s="298" t="s">
        <v>94</v>
      </c>
      <c r="F20" s="296"/>
      <c r="G20" s="297"/>
      <c r="H20" s="294"/>
      <c r="I20" s="294"/>
      <c r="J20" s="294"/>
      <c r="K20" s="294"/>
      <c r="L20" s="294"/>
      <c r="M20" s="294"/>
      <c r="N20" s="294"/>
      <c r="O20" s="294"/>
      <c r="P20" s="294"/>
      <c r="Q20" s="294">
        <v>16240</v>
      </c>
      <c r="R20" s="294"/>
      <c r="S20" s="294"/>
      <c r="T20" s="294">
        <f t="shared" si="0"/>
        <v>16240</v>
      </c>
      <c r="U20" s="297"/>
      <c r="V20" s="297">
        <f t="shared" si="1"/>
        <v>16240</v>
      </c>
      <c r="X20" s="297"/>
      <c r="Y20" s="294"/>
      <c r="Z20" s="294"/>
      <c r="AA20" s="294"/>
      <c r="AB20" s="294"/>
      <c r="AC20" s="294"/>
      <c r="AD20" s="294"/>
      <c r="AE20" s="294"/>
      <c r="AF20" s="294"/>
      <c r="AG20" s="294"/>
      <c r="AH20" s="294">
        <v>16240</v>
      </c>
      <c r="AI20" s="294"/>
      <c r="AJ20" s="429">
        <f t="shared" si="2"/>
        <v>16240</v>
      </c>
    </row>
    <row r="21" spans="1:36">
      <c r="A21" s="263"/>
      <c r="B21" s="263"/>
      <c r="C21" s="297">
        <v>4500</v>
      </c>
      <c r="D21" s="294">
        <v>11517</v>
      </c>
      <c r="E21" s="298" t="s">
        <v>10</v>
      </c>
      <c r="F21" s="296"/>
      <c r="G21" s="297"/>
      <c r="H21" s="294"/>
      <c r="I21" s="294"/>
      <c r="J21" s="294"/>
      <c r="K21" s="294">
        <v>862.06</v>
      </c>
      <c r="L21" s="294">
        <f>2500+4310+5000</f>
        <v>11810</v>
      </c>
      <c r="M21" s="294">
        <v>3500</v>
      </c>
      <c r="N21" s="294"/>
      <c r="O21" s="294"/>
      <c r="P21" s="294">
        <v>4174</v>
      </c>
      <c r="Q21" s="294"/>
      <c r="R21" s="294">
        <v>500</v>
      </c>
      <c r="S21" s="294"/>
      <c r="T21" s="294">
        <f t="shared" si="0"/>
        <v>20846.059999999998</v>
      </c>
      <c r="U21" s="297">
        <v>5500</v>
      </c>
      <c r="V21" s="297">
        <f t="shared" si="1"/>
        <v>15346.059999999998</v>
      </c>
      <c r="X21" s="297"/>
      <c r="Y21" s="294"/>
      <c r="Z21" s="294"/>
      <c r="AA21" s="294"/>
      <c r="AB21" s="294">
        <v>862.06</v>
      </c>
      <c r="AC21" s="294">
        <f>2500+4310+5000</f>
        <v>11810</v>
      </c>
      <c r="AD21" s="294">
        <v>3500</v>
      </c>
      <c r="AE21" s="294"/>
      <c r="AF21" s="294"/>
      <c r="AG21" s="294">
        <v>4174</v>
      </c>
      <c r="AH21" s="294"/>
      <c r="AI21" s="294">
        <v>4174</v>
      </c>
      <c r="AJ21" s="429">
        <f t="shared" si="2"/>
        <v>24520.059999999998</v>
      </c>
    </row>
    <row r="22" spans="1:36">
      <c r="A22" s="263"/>
      <c r="B22" s="263"/>
      <c r="C22" s="297">
        <v>0</v>
      </c>
      <c r="D22" s="294">
        <v>0</v>
      </c>
      <c r="E22" s="298" t="s">
        <v>11</v>
      </c>
      <c r="F22" s="296"/>
      <c r="G22" s="297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>
        <f t="shared" si="0"/>
        <v>0</v>
      </c>
      <c r="U22" s="297"/>
      <c r="V22" s="297">
        <f t="shared" si="1"/>
        <v>0</v>
      </c>
      <c r="X22" s="297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429">
        <f t="shared" si="2"/>
        <v>0</v>
      </c>
    </row>
    <row r="23" spans="1:36">
      <c r="A23" s="263"/>
      <c r="B23" s="263"/>
      <c r="C23" s="297">
        <v>0</v>
      </c>
      <c r="D23" s="294">
        <v>0</v>
      </c>
      <c r="E23" s="298" t="s">
        <v>50</v>
      </c>
      <c r="F23" s="296"/>
      <c r="G23" s="297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>
        <f t="shared" si="0"/>
        <v>0</v>
      </c>
      <c r="U23" s="297"/>
      <c r="V23" s="297">
        <f t="shared" si="1"/>
        <v>0</v>
      </c>
      <c r="X23" s="297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429">
        <f t="shared" si="2"/>
        <v>0</v>
      </c>
    </row>
    <row r="24" spans="1:36">
      <c r="A24" s="263"/>
      <c r="B24" s="263"/>
      <c r="C24" s="297">
        <v>23533.57</v>
      </c>
      <c r="D24" s="294">
        <v>25511.43</v>
      </c>
      <c r="E24" s="295" t="s">
        <v>299</v>
      </c>
      <c r="F24" s="296"/>
      <c r="G24" s="297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>
        <v>1250</v>
      </c>
      <c r="S24" s="294"/>
      <c r="T24" s="294">
        <f t="shared" si="0"/>
        <v>1250</v>
      </c>
      <c r="U24" s="297">
        <v>13750</v>
      </c>
      <c r="V24" s="297">
        <f t="shared" si="1"/>
        <v>-12500</v>
      </c>
      <c r="X24" s="297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429">
        <f t="shared" si="2"/>
        <v>0</v>
      </c>
    </row>
    <row r="25" spans="1:36">
      <c r="A25" s="263"/>
      <c r="B25" s="263"/>
      <c r="C25" s="297"/>
      <c r="D25" s="294"/>
      <c r="E25" s="298"/>
      <c r="F25" s="296"/>
      <c r="G25" s="297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>
        <f t="shared" si="0"/>
        <v>0</v>
      </c>
      <c r="U25" s="297"/>
      <c r="V25" s="297">
        <f t="shared" si="1"/>
        <v>0</v>
      </c>
      <c r="X25" s="297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429">
        <f t="shared" si="2"/>
        <v>0</v>
      </c>
    </row>
    <row r="26" spans="1:36" ht="15">
      <c r="A26" s="263"/>
      <c r="B26" s="263"/>
      <c r="C26" s="297"/>
      <c r="D26" s="294"/>
      <c r="E26" s="301" t="s">
        <v>89</v>
      </c>
      <c r="F26" s="296"/>
      <c r="G26" s="297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>
        <f t="shared" si="0"/>
        <v>0</v>
      </c>
      <c r="U26" s="297"/>
      <c r="V26" s="297">
        <f t="shared" si="1"/>
        <v>0</v>
      </c>
      <c r="X26" s="297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429">
        <f t="shared" si="2"/>
        <v>0</v>
      </c>
    </row>
    <row r="27" spans="1:36">
      <c r="A27" s="263"/>
      <c r="B27" s="263"/>
      <c r="C27" s="297">
        <v>4150000</v>
      </c>
      <c r="D27" s="294">
        <v>9130000</v>
      </c>
      <c r="E27" s="302" t="s">
        <v>300</v>
      </c>
      <c r="F27" s="296"/>
      <c r="G27" s="294"/>
      <c r="H27" s="294"/>
      <c r="I27" s="294"/>
      <c r="J27" s="294"/>
      <c r="K27" s="294"/>
      <c r="L27" s="294">
        <v>1500000</v>
      </c>
      <c r="M27" s="294"/>
      <c r="N27" s="294"/>
      <c r="O27" s="294"/>
      <c r="P27" s="294"/>
      <c r="Q27" s="294"/>
      <c r="R27" s="294"/>
      <c r="S27" s="294"/>
      <c r="T27" s="294">
        <f t="shared" si="0"/>
        <v>1500000</v>
      </c>
      <c r="U27" s="297">
        <v>7333333.3300000001</v>
      </c>
      <c r="V27" s="297">
        <f t="shared" si="1"/>
        <v>-5833333.3300000001</v>
      </c>
      <c r="X27" s="294">
        <f>6000000/12</f>
        <v>500000</v>
      </c>
      <c r="Y27" s="294">
        <f>6000000/12</f>
        <v>500000</v>
      </c>
      <c r="Z27" s="294">
        <f>6000000/12</f>
        <v>500000</v>
      </c>
      <c r="AA27" s="294">
        <f t="shared" ref="AA27:AI27" si="3">6000000/12</f>
        <v>500000</v>
      </c>
      <c r="AB27" s="294">
        <f t="shared" si="3"/>
        <v>500000</v>
      </c>
      <c r="AC27" s="294">
        <f t="shared" si="3"/>
        <v>500000</v>
      </c>
      <c r="AD27" s="294">
        <f t="shared" si="3"/>
        <v>500000</v>
      </c>
      <c r="AE27" s="294">
        <f t="shared" si="3"/>
        <v>500000</v>
      </c>
      <c r="AF27" s="294">
        <f t="shared" si="3"/>
        <v>500000</v>
      </c>
      <c r="AG27" s="294">
        <f t="shared" si="3"/>
        <v>500000</v>
      </c>
      <c r="AH27" s="294">
        <f t="shared" si="3"/>
        <v>500000</v>
      </c>
      <c r="AI27" s="294">
        <f t="shared" si="3"/>
        <v>500000</v>
      </c>
      <c r="AJ27" s="429">
        <f t="shared" si="2"/>
        <v>6000000</v>
      </c>
    </row>
    <row r="28" spans="1:36">
      <c r="A28" s="263"/>
      <c r="B28" s="263"/>
      <c r="C28" s="297">
        <v>125000</v>
      </c>
      <c r="D28" s="294">
        <v>1030660.76</v>
      </c>
      <c r="E28" s="302" t="s">
        <v>301</v>
      </c>
      <c r="F28" s="296"/>
      <c r="G28" s="294"/>
      <c r="H28" s="294">
        <v>2000000</v>
      </c>
      <c r="I28" s="294"/>
      <c r="J28" s="294"/>
      <c r="K28" s="294">
        <v>250000</v>
      </c>
      <c r="L28" s="294">
        <v>250000</v>
      </c>
      <c r="M28" s="294">
        <v>250000</v>
      </c>
      <c r="N28" s="294"/>
      <c r="O28" s="294"/>
      <c r="P28" s="294"/>
      <c r="Q28" s="294"/>
      <c r="R28" s="294">
        <v>1500000</v>
      </c>
      <c r="S28" s="294"/>
      <c r="T28" s="294">
        <f t="shared" si="0"/>
        <v>4250000</v>
      </c>
      <c r="U28" s="297">
        <v>3666666.67</v>
      </c>
      <c r="V28" s="297">
        <f t="shared" si="1"/>
        <v>583333.33000000007</v>
      </c>
      <c r="X28" s="294">
        <f t="shared" ref="X28:Z29" si="4">1000000/12</f>
        <v>83333.333333333328</v>
      </c>
      <c r="Y28" s="294">
        <f t="shared" si="4"/>
        <v>83333.333333333328</v>
      </c>
      <c r="Z28" s="294">
        <f t="shared" si="4"/>
        <v>83333.333333333328</v>
      </c>
      <c r="AA28" s="294">
        <f t="shared" ref="AA28:AI29" si="5">1000000/12</f>
        <v>83333.333333333328</v>
      </c>
      <c r="AB28" s="294">
        <f t="shared" si="5"/>
        <v>83333.333333333328</v>
      </c>
      <c r="AC28" s="294">
        <f t="shared" si="5"/>
        <v>83333.333333333328</v>
      </c>
      <c r="AD28" s="294">
        <f t="shared" si="5"/>
        <v>83333.333333333328</v>
      </c>
      <c r="AE28" s="294">
        <f t="shared" si="5"/>
        <v>83333.333333333328</v>
      </c>
      <c r="AF28" s="294">
        <f t="shared" si="5"/>
        <v>83333.333333333328</v>
      </c>
      <c r="AG28" s="294">
        <f t="shared" si="5"/>
        <v>83333.333333333328</v>
      </c>
      <c r="AH28" s="294">
        <f t="shared" si="5"/>
        <v>83333.333333333328</v>
      </c>
      <c r="AI28" s="294">
        <f t="shared" si="5"/>
        <v>83333.333333333328</v>
      </c>
      <c r="AJ28" s="429">
        <f t="shared" si="2"/>
        <v>1000000.0000000001</v>
      </c>
    </row>
    <row r="29" spans="1:36">
      <c r="A29" s="263"/>
      <c r="B29" s="263"/>
      <c r="C29" s="297">
        <v>1050000</v>
      </c>
      <c r="D29" s="294">
        <v>1000000</v>
      </c>
      <c r="E29" s="295" t="s">
        <v>86</v>
      </c>
      <c r="F29" s="296"/>
      <c r="G29" s="294"/>
      <c r="H29" s="294"/>
      <c r="I29" s="294">
        <v>500000</v>
      </c>
      <c r="J29" s="294"/>
      <c r="K29" s="294"/>
      <c r="L29" s="294"/>
      <c r="M29" s="294">
        <v>500000</v>
      </c>
      <c r="N29" s="294"/>
      <c r="O29" s="294"/>
      <c r="P29" s="294"/>
      <c r="Q29" s="294"/>
      <c r="R29" s="294"/>
      <c r="S29" s="294"/>
      <c r="T29" s="294">
        <f t="shared" si="0"/>
        <v>1000000</v>
      </c>
      <c r="U29" s="297">
        <v>916666.67</v>
      </c>
      <c r="V29" s="297">
        <f t="shared" si="1"/>
        <v>83333.329999999958</v>
      </c>
      <c r="X29" s="294">
        <f t="shared" si="4"/>
        <v>83333.333333333328</v>
      </c>
      <c r="Y29" s="294">
        <f t="shared" si="4"/>
        <v>83333.333333333328</v>
      </c>
      <c r="Z29" s="294">
        <f t="shared" si="4"/>
        <v>83333.333333333328</v>
      </c>
      <c r="AA29" s="294">
        <f t="shared" si="5"/>
        <v>83333.333333333328</v>
      </c>
      <c r="AB29" s="294">
        <f t="shared" si="5"/>
        <v>83333.333333333328</v>
      </c>
      <c r="AC29" s="294">
        <f t="shared" si="5"/>
        <v>83333.333333333328</v>
      </c>
      <c r="AD29" s="294">
        <f t="shared" si="5"/>
        <v>83333.333333333328</v>
      </c>
      <c r="AE29" s="294">
        <f t="shared" si="5"/>
        <v>83333.333333333328</v>
      </c>
      <c r="AF29" s="294">
        <f t="shared" si="5"/>
        <v>83333.333333333328</v>
      </c>
      <c r="AG29" s="294">
        <f t="shared" si="5"/>
        <v>83333.333333333328</v>
      </c>
      <c r="AH29" s="294">
        <f t="shared" si="5"/>
        <v>83333.333333333328</v>
      </c>
      <c r="AI29" s="294">
        <f t="shared" si="5"/>
        <v>83333.333333333328</v>
      </c>
      <c r="AJ29" s="429">
        <f t="shared" si="2"/>
        <v>1000000.0000000001</v>
      </c>
    </row>
    <row r="30" spans="1:36">
      <c r="A30" s="263"/>
      <c r="B30" s="263"/>
      <c r="C30" s="297">
        <v>5000000</v>
      </c>
      <c r="D30" s="294">
        <v>8213794</v>
      </c>
      <c r="E30" s="302" t="s">
        <v>302</v>
      </c>
      <c r="F30" s="296"/>
      <c r="G30" s="297">
        <v>1000000</v>
      </c>
      <c r="H30" s="294">
        <v>2000000</v>
      </c>
      <c r="I30" s="294">
        <v>500000</v>
      </c>
      <c r="J30" s="294">
        <v>500000</v>
      </c>
      <c r="K30" s="294">
        <v>2000000</v>
      </c>
      <c r="L30" s="294"/>
      <c r="M30" s="294">
        <v>1500000</v>
      </c>
      <c r="N30" s="294">
        <v>1500000</v>
      </c>
      <c r="O30" s="294">
        <v>3000000</v>
      </c>
      <c r="P30" s="294">
        <v>3500000</v>
      </c>
      <c r="Q30" s="294">
        <v>3000000</v>
      </c>
      <c r="R30" s="294">
        <v>1000000</v>
      </c>
      <c r="S30" s="294"/>
      <c r="T30" s="294">
        <f t="shared" si="0"/>
        <v>19500000</v>
      </c>
      <c r="U30" s="297">
        <v>5390000</v>
      </c>
      <c r="V30" s="297">
        <f t="shared" si="1"/>
        <v>14110000</v>
      </c>
      <c r="X30" s="294">
        <f>6000000/12</f>
        <v>500000</v>
      </c>
      <c r="Y30" s="294">
        <f>6000000/12</f>
        <v>500000</v>
      </c>
      <c r="Z30" s="294">
        <f>6000000/12</f>
        <v>500000</v>
      </c>
      <c r="AA30" s="294">
        <f t="shared" ref="AA30:AI30" si="6">6000000/12</f>
        <v>500000</v>
      </c>
      <c r="AB30" s="294">
        <f t="shared" si="6"/>
        <v>500000</v>
      </c>
      <c r="AC30" s="294">
        <f t="shared" si="6"/>
        <v>500000</v>
      </c>
      <c r="AD30" s="294">
        <f t="shared" si="6"/>
        <v>500000</v>
      </c>
      <c r="AE30" s="294">
        <f t="shared" si="6"/>
        <v>500000</v>
      </c>
      <c r="AF30" s="294">
        <f t="shared" si="6"/>
        <v>500000</v>
      </c>
      <c r="AG30" s="294">
        <f t="shared" si="6"/>
        <v>500000</v>
      </c>
      <c r="AH30" s="294">
        <f t="shared" si="6"/>
        <v>500000</v>
      </c>
      <c r="AI30" s="294">
        <f t="shared" si="6"/>
        <v>500000</v>
      </c>
      <c r="AJ30" s="429">
        <f t="shared" si="2"/>
        <v>6000000</v>
      </c>
    </row>
    <row r="31" spans="1:36">
      <c r="A31" s="263"/>
      <c r="B31" s="263"/>
      <c r="C31" s="297"/>
      <c r="D31" s="294"/>
      <c r="E31" s="302" t="s">
        <v>303</v>
      </c>
      <c r="F31" s="296"/>
      <c r="G31" s="297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>
        <f t="shared" si="0"/>
        <v>0</v>
      </c>
      <c r="U31" s="297">
        <v>5736041.6699999999</v>
      </c>
      <c r="V31" s="297">
        <f t="shared" si="1"/>
        <v>-5736041.6699999999</v>
      </c>
      <c r="X31" s="297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429">
        <f t="shared" si="2"/>
        <v>0</v>
      </c>
    </row>
    <row r="32" spans="1:36">
      <c r="A32" s="263"/>
      <c r="B32" s="263"/>
      <c r="C32" s="297">
        <v>800000</v>
      </c>
      <c r="D32" s="294">
        <v>0</v>
      </c>
      <c r="E32" s="302" t="s">
        <v>304</v>
      </c>
      <c r="F32" s="296"/>
      <c r="G32" s="297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>
        <f t="shared" si="0"/>
        <v>0</v>
      </c>
      <c r="U32" s="297">
        <v>2750000</v>
      </c>
      <c r="V32" s="297">
        <f t="shared" si="1"/>
        <v>-2750000</v>
      </c>
      <c r="X32" s="297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429">
        <f t="shared" si="2"/>
        <v>0</v>
      </c>
    </row>
    <row r="33" spans="1:37">
      <c r="A33" s="263"/>
      <c r="B33" s="263"/>
      <c r="C33" s="297">
        <v>50000</v>
      </c>
      <c r="D33" s="294">
        <v>25000</v>
      </c>
      <c r="E33" s="295" t="s">
        <v>88</v>
      </c>
      <c r="F33" s="296"/>
      <c r="G33" s="297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>
        <f t="shared" si="0"/>
        <v>0</v>
      </c>
      <c r="U33" s="297"/>
      <c r="V33" s="297">
        <f t="shared" si="1"/>
        <v>0</v>
      </c>
      <c r="X33" s="297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429">
        <f t="shared" si="2"/>
        <v>0</v>
      </c>
    </row>
    <row r="34" spans="1:37">
      <c r="A34" s="263"/>
      <c r="B34" s="263"/>
      <c r="C34" s="297">
        <f>472250+800</f>
        <v>473050</v>
      </c>
      <c r="D34" s="294">
        <v>46152.44</v>
      </c>
      <c r="E34" s="295" t="s">
        <v>38</v>
      </c>
      <c r="F34" s="296"/>
      <c r="G34" s="297">
        <v>40000</v>
      </c>
      <c r="H34" s="294">
        <v>482000</v>
      </c>
      <c r="I34" s="294">
        <v>101150</v>
      </c>
      <c r="J34" s="294">
        <f>58725+19575</f>
        <v>78300</v>
      </c>
      <c r="K34" s="294">
        <f>19575+19575+19575</f>
        <v>58725</v>
      </c>
      <c r="L34" s="294">
        <f>1878300-1750000</f>
        <v>128300</v>
      </c>
      <c r="M34" s="294">
        <v>2700.08</v>
      </c>
      <c r="N34" s="294">
        <v>9000</v>
      </c>
      <c r="O34" s="294"/>
      <c r="P34" s="294">
        <v>2500</v>
      </c>
      <c r="Q34" s="294">
        <v>10000</v>
      </c>
      <c r="R34" s="294">
        <v>2500</v>
      </c>
      <c r="S34" s="294"/>
      <c r="T34" s="294">
        <f t="shared" si="0"/>
        <v>915175.08</v>
      </c>
      <c r="U34" s="297">
        <v>202500</v>
      </c>
      <c r="V34" s="297">
        <f t="shared" si="1"/>
        <v>712675.08</v>
      </c>
      <c r="X34" s="297">
        <f>5000000/12</f>
        <v>416666.66666666669</v>
      </c>
      <c r="Y34" s="297">
        <f t="shared" ref="Y34:AI34" si="7">5000000/12</f>
        <v>416666.66666666669</v>
      </c>
      <c r="Z34" s="297">
        <f t="shared" si="7"/>
        <v>416666.66666666669</v>
      </c>
      <c r="AA34" s="297">
        <f t="shared" si="7"/>
        <v>416666.66666666669</v>
      </c>
      <c r="AB34" s="297">
        <f t="shared" si="7"/>
        <v>416666.66666666669</v>
      </c>
      <c r="AC34" s="297">
        <f t="shared" si="7"/>
        <v>416666.66666666669</v>
      </c>
      <c r="AD34" s="297">
        <f t="shared" si="7"/>
        <v>416666.66666666669</v>
      </c>
      <c r="AE34" s="297">
        <f t="shared" si="7"/>
        <v>416666.66666666669</v>
      </c>
      <c r="AF34" s="297">
        <f t="shared" si="7"/>
        <v>416666.66666666669</v>
      </c>
      <c r="AG34" s="297">
        <f t="shared" si="7"/>
        <v>416666.66666666669</v>
      </c>
      <c r="AH34" s="297">
        <f t="shared" si="7"/>
        <v>416666.66666666669</v>
      </c>
      <c r="AI34" s="297">
        <f t="shared" si="7"/>
        <v>416666.66666666669</v>
      </c>
      <c r="AJ34" s="429">
        <f t="shared" si="2"/>
        <v>5000000</v>
      </c>
    </row>
    <row r="35" spans="1:37" ht="15">
      <c r="A35" s="263"/>
      <c r="B35" s="263"/>
      <c r="C35" s="303">
        <f>SUM(C27:C34)</f>
        <v>11648050</v>
      </c>
      <c r="D35" s="303">
        <f>SUM(D27:D34)</f>
        <v>19445607.199999999</v>
      </c>
      <c r="E35" s="301" t="s">
        <v>90</v>
      </c>
      <c r="F35" s="296"/>
      <c r="G35" s="303">
        <f>SUM(G27:G34)</f>
        <v>1040000</v>
      </c>
      <c r="H35" s="303">
        <f t="shared" ref="H35:U35" si="8">SUM(H27:H34)</f>
        <v>4482000</v>
      </c>
      <c r="I35" s="303">
        <f t="shared" si="8"/>
        <v>1101150</v>
      </c>
      <c r="J35" s="303">
        <f t="shared" si="8"/>
        <v>578300</v>
      </c>
      <c r="K35" s="303">
        <f t="shared" si="8"/>
        <v>2308725</v>
      </c>
      <c r="L35" s="303">
        <f t="shared" si="8"/>
        <v>1878300</v>
      </c>
      <c r="M35" s="303">
        <f t="shared" si="8"/>
        <v>2252700.08</v>
      </c>
      <c r="N35" s="303">
        <f t="shared" si="8"/>
        <v>1509000</v>
      </c>
      <c r="O35" s="303">
        <f t="shared" si="8"/>
        <v>3000000</v>
      </c>
      <c r="P35" s="303">
        <f t="shared" si="8"/>
        <v>3502500</v>
      </c>
      <c r="Q35" s="303">
        <f t="shared" si="8"/>
        <v>3010000</v>
      </c>
      <c r="R35" s="303">
        <f t="shared" si="8"/>
        <v>2502500</v>
      </c>
      <c r="S35" s="303">
        <f t="shared" si="8"/>
        <v>0</v>
      </c>
      <c r="T35" s="303">
        <f t="shared" si="8"/>
        <v>27165175.079999998</v>
      </c>
      <c r="U35" s="303">
        <f t="shared" si="8"/>
        <v>25995208.340000004</v>
      </c>
      <c r="V35" s="297">
        <f t="shared" si="1"/>
        <v>1169966.7399999946</v>
      </c>
      <c r="X35" s="303">
        <f t="shared" ref="X35:AI35" si="9">SUM(X27:X34)</f>
        <v>1583333.3333333335</v>
      </c>
      <c r="Y35" s="303">
        <f t="shared" si="9"/>
        <v>1583333.3333333335</v>
      </c>
      <c r="Z35" s="303">
        <f t="shared" si="9"/>
        <v>1583333.3333333335</v>
      </c>
      <c r="AA35" s="303">
        <f t="shared" si="9"/>
        <v>1583333.3333333335</v>
      </c>
      <c r="AB35" s="303">
        <f t="shared" si="9"/>
        <v>1583333.3333333335</v>
      </c>
      <c r="AC35" s="303">
        <f t="shared" si="9"/>
        <v>1583333.3333333335</v>
      </c>
      <c r="AD35" s="303">
        <f t="shared" si="9"/>
        <v>1583333.3333333335</v>
      </c>
      <c r="AE35" s="303">
        <f t="shared" si="9"/>
        <v>1583333.3333333335</v>
      </c>
      <c r="AF35" s="303">
        <f t="shared" si="9"/>
        <v>1583333.3333333335</v>
      </c>
      <c r="AG35" s="303">
        <f t="shared" si="9"/>
        <v>1583333.3333333335</v>
      </c>
      <c r="AH35" s="303">
        <f t="shared" si="9"/>
        <v>1583333.3333333335</v>
      </c>
      <c r="AI35" s="303">
        <f t="shared" si="9"/>
        <v>1583333.3333333335</v>
      </c>
      <c r="AJ35" s="429">
        <f t="shared" si="2"/>
        <v>19000000.000000004</v>
      </c>
    </row>
    <row r="36" spans="1:37">
      <c r="A36" s="263"/>
      <c r="B36" s="263"/>
      <c r="C36" s="304"/>
      <c r="D36" s="294"/>
      <c r="E36" s="302"/>
      <c r="F36" s="305"/>
      <c r="G36" s="297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>
        <f>+R36</f>
        <v>0</v>
      </c>
      <c r="T36" s="294">
        <f>SUM(G36:R36)+S36</f>
        <v>0</v>
      </c>
      <c r="U36" s="304"/>
      <c r="V36" s="297">
        <f t="shared" si="1"/>
        <v>0</v>
      </c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429">
        <f t="shared" si="2"/>
        <v>0</v>
      </c>
    </row>
    <row r="37" spans="1:37">
      <c r="A37" s="263"/>
      <c r="B37" s="263"/>
      <c r="C37" s="304">
        <v>0</v>
      </c>
      <c r="D37" s="294">
        <v>0</v>
      </c>
      <c r="E37" s="302" t="s">
        <v>69</v>
      </c>
      <c r="F37" s="305"/>
      <c r="G37" s="297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>
        <f>+R37</f>
        <v>0</v>
      </c>
      <c r="T37" s="294">
        <f>SUM(G37:R37)+S37</f>
        <v>0</v>
      </c>
      <c r="U37" s="304"/>
      <c r="V37" s="297">
        <f t="shared" si="1"/>
        <v>0</v>
      </c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429">
        <f t="shared" si="2"/>
        <v>0</v>
      </c>
    </row>
    <row r="38" spans="1:37">
      <c r="A38" s="263"/>
      <c r="B38" s="263"/>
      <c r="C38" s="304">
        <v>61315.78</v>
      </c>
      <c r="D38" s="294">
        <v>114491.25000000001</v>
      </c>
      <c r="E38" s="302" t="s">
        <v>57</v>
      </c>
      <c r="F38" s="305"/>
      <c r="G38" s="297">
        <v>5046.46</v>
      </c>
      <c r="H38" s="294">
        <v>1079.0899999999999</v>
      </c>
      <c r="I38" s="294">
        <v>1348.4</v>
      </c>
      <c r="J38" s="294">
        <v>1146.58</v>
      </c>
      <c r="K38" s="294">
        <v>1332.83</v>
      </c>
      <c r="L38" s="294">
        <f>2371+19226</f>
        <v>21597</v>
      </c>
      <c r="M38" s="294">
        <f>1010.58+184.2</f>
        <v>1194.78</v>
      </c>
      <c r="N38" s="294">
        <v>689.87</v>
      </c>
      <c r="O38" s="294">
        <v>965.51</v>
      </c>
      <c r="P38" s="294">
        <f>30324.14+1479.54</f>
        <v>31803.68</v>
      </c>
      <c r="Q38" s="294">
        <f>804.64+0.71</f>
        <v>805.35</v>
      </c>
      <c r="R38" s="294"/>
      <c r="S38" s="294"/>
      <c r="T38" s="294">
        <f>SUM(G38:R38)</f>
        <v>67009.550000000017</v>
      </c>
      <c r="U38" s="304"/>
      <c r="V38" s="297">
        <f t="shared" si="1"/>
        <v>67009.550000000017</v>
      </c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429">
        <f t="shared" si="2"/>
        <v>0</v>
      </c>
    </row>
    <row r="39" spans="1:37">
      <c r="A39" s="263"/>
      <c r="B39" s="263"/>
      <c r="C39" s="304"/>
      <c r="D39" s="294"/>
      <c r="E39" s="302" t="s">
        <v>316</v>
      </c>
      <c r="F39" s="305"/>
      <c r="G39" s="297"/>
      <c r="H39" s="294"/>
      <c r="I39" s="294"/>
      <c r="J39" s="294"/>
      <c r="K39" s="294"/>
      <c r="L39" s="294"/>
      <c r="M39" s="294"/>
      <c r="N39" s="294">
        <v>10000</v>
      </c>
      <c r="O39" s="294"/>
      <c r="P39" s="294"/>
      <c r="Q39" s="294"/>
      <c r="R39" s="294"/>
      <c r="S39" s="294"/>
      <c r="T39" s="294">
        <f>SUM(G39:R39)+S39</f>
        <v>10000</v>
      </c>
      <c r="U39" s="304">
        <v>12833333.33</v>
      </c>
      <c r="V39" s="297">
        <f t="shared" si="1"/>
        <v>-12823333.33</v>
      </c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429">
        <f t="shared" si="2"/>
        <v>0</v>
      </c>
    </row>
    <row r="40" spans="1:37">
      <c r="A40" s="263"/>
      <c r="B40" s="263"/>
      <c r="C40" s="304"/>
      <c r="D40" s="294"/>
      <c r="E40" s="306" t="s">
        <v>147</v>
      </c>
      <c r="F40" s="307"/>
      <c r="G40" s="308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>
        <f>SUM(G40:R40)+S40</f>
        <v>0</v>
      </c>
      <c r="U40" s="310">
        <v>1375000</v>
      </c>
      <c r="V40" s="308">
        <f t="shared" si="1"/>
        <v>-1375000</v>
      </c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429">
        <f t="shared" si="2"/>
        <v>0</v>
      </c>
    </row>
    <row r="41" spans="1:37" ht="15">
      <c r="A41" s="263"/>
      <c r="B41" s="263"/>
      <c r="C41" s="311">
        <v>13277748.549999999</v>
      </c>
      <c r="D41" s="311">
        <f>SUM(D12:D34)+SUM(D36:D40)</f>
        <v>20347125.290000003</v>
      </c>
      <c r="E41" s="312" t="s">
        <v>135</v>
      </c>
      <c r="F41" s="313"/>
      <c r="G41" s="311">
        <f t="shared" ref="G41:V41" si="10">SUM(G12:G34)+SUM(G36:G40)</f>
        <v>1113087.3999999999</v>
      </c>
      <c r="H41" s="311">
        <f t="shared" si="10"/>
        <v>4542590.13</v>
      </c>
      <c r="I41" s="311">
        <f t="shared" si="10"/>
        <v>1157738.25</v>
      </c>
      <c r="J41" s="311">
        <f t="shared" si="10"/>
        <v>648047.25999999989</v>
      </c>
      <c r="K41" s="311">
        <f t="shared" si="10"/>
        <v>2345231.6100000003</v>
      </c>
      <c r="L41" s="311">
        <f t="shared" si="10"/>
        <v>1941170</v>
      </c>
      <c r="M41" s="311">
        <f t="shared" si="10"/>
        <v>2287535.9300000002</v>
      </c>
      <c r="N41" s="311">
        <f t="shared" si="10"/>
        <v>1567224.8900000001</v>
      </c>
      <c r="O41" s="311">
        <f t="shared" si="10"/>
        <v>3030238.2699999996</v>
      </c>
      <c r="P41" s="311">
        <f t="shared" si="10"/>
        <v>3577498.5300000003</v>
      </c>
      <c r="Q41" s="311">
        <f t="shared" si="10"/>
        <v>3160116.24</v>
      </c>
      <c r="R41" s="311">
        <f t="shared" si="10"/>
        <v>2569249</v>
      </c>
      <c r="S41" s="311">
        <f t="shared" si="10"/>
        <v>0</v>
      </c>
      <c r="T41" s="311">
        <f t="shared" si="10"/>
        <v>27939727.509999998</v>
      </c>
      <c r="U41" s="311">
        <f t="shared" si="10"/>
        <v>40937791.68</v>
      </c>
      <c r="V41" s="311">
        <f t="shared" si="10"/>
        <v>-12998064.17</v>
      </c>
      <c r="X41" s="311">
        <f t="shared" ref="X41:AJ41" si="11">SUM(X12:X34)+SUM(X36:X40)</f>
        <v>1651374.2733333334</v>
      </c>
      <c r="Y41" s="311">
        <f t="shared" si="11"/>
        <v>1642844.3733333335</v>
      </c>
      <c r="Z41" s="311">
        <f t="shared" si="11"/>
        <v>1638573.1833333333</v>
      </c>
      <c r="AA41" s="311">
        <f t="shared" si="11"/>
        <v>1651934.0133333334</v>
      </c>
      <c r="AB41" s="311">
        <f t="shared" si="11"/>
        <v>1618507.1133333335</v>
      </c>
      <c r="AC41" s="311">
        <f t="shared" si="11"/>
        <v>1624606.3333333335</v>
      </c>
      <c r="AD41" s="311">
        <f t="shared" si="11"/>
        <v>1616974.4033333336</v>
      </c>
      <c r="AE41" s="311">
        <f t="shared" si="11"/>
        <v>1630868.3533333335</v>
      </c>
      <c r="AF41" s="311">
        <f t="shared" si="11"/>
        <v>1612606.0933333335</v>
      </c>
      <c r="AG41" s="311">
        <f t="shared" si="11"/>
        <v>1626528.1833333333</v>
      </c>
      <c r="AH41" s="311">
        <f t="shared" si="11"/>
        <v>1732644.2233333334</v>
      </c>
      <c r="AI41" s="311">
        <f t="shared" si="11"/>
        <v>1626528.1833333333</v>
      </c>
      <c r="AJ41" s="311">
        <f t="shared" si="11"/>
        <v>19673988.73</v>
      </c>
    </row>
    <row r="42" spans="1:37" ht="15">
      <c r="A42" s="263"/>
      <c r="B42" s="263"/>
      <c r="C42" s="314"/>
      <c r="D42" s="314"/>
      <c r="E42" s="263"/>
      <c r="F42" s="263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5"/>
    </row>
    <row r="43" spans="1:37" ht="18">
      <c r="A43" s="263"/>
      <c r="B43" s="263"/>
      <c r="C43" s="265"/>
      <c r="D43" s="316"/>
      <c r="E43" s="317" t="s">
        <v>96</v>
      </c>
      <c r="F43" s="263"/>
      <c r="G43" s="265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V43" s="318"/>
    </row>
    <row r="44" spans="1:37" ht="15">
      <c r="A44" s="263"/>
      <c r="B44" s="263"/>
      <c r="C44" s="319"/>
      <c r="D44" s="320"/>
      <c r="E44" s="321" t="s">
        <v>15</v>
      </c>
      <c r="F44" s="322"/>
      <c r="G44" s="323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19"/>
      <c r="V44" s="324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</row>
    <row r="45" spans="1:37">
      <c r="A45" s="263"/>
      <c r="B45" s="263"/>
      <c r="C45" s="304">
        <v>503355.94</v>
      </c>
      <c r="D45" s="325">
        <v>535456.20000000007</v>
      </c>
      <c r="E45" s="326" t="s">
        <v>16</v>
      </c>
      <c r="F45" s="327"/>
      <c r="G45" s="328">
        <v>47227.24</v>
      </c>
      <c r="H45" s="325">
        <v>47227.24</v>
      </c>
      <c r="I45" s="325">
        <v>47227.24</v>
      </c>
      <c r="J45" s="325">
        <v>47227.24</v>
      </c>
      <c r="K45" s="325">
        <v>47227.24</v>
      </c>
      <c r="L45" s="325">
        <v>47227</v>
      </c>
      <c r="M45" s="325">
        <v>47227.24</v>
      </c>
      <c r="N45" s="325">
        <v>47227.24</v>
      </c>
      <c r="O45" s="325">
        <v>47227.24</v>
      </c>
      <c r="P45" s="325">
        <v>47227.24</v>
      </c>
      <c r="Q45" s="325">
        <v>47227.24</v>
      </c>
      <c r="R45" s="325">
        <v>47227</v>
      </c>
      <c r="S45" s="325"/>
      <c r="T45" s="294">
        <f t="shared" ref="T45:T58" si="12">SUM(G45:R45)+S45</f>
        <v>566726.39999999991</v>
      </c>
      <c r="U45" s="304">
        <v>514335.36</v>
      </c>
      <c r="V45" s="297">
        <f t="shared" ref="V45:V58" si="13">+T45-U45</f>
        <v>52391.039999999921</v>
      </c>
      <c r="X45" s="428">
        <v>49096</v>
      </c>
      <c r="Y45" s="428">
        <v>49096</v>
      </c>
      <c r="Z45" s="428">
        <v>49096</v>
      </c>
      <c r="AA45" s="428">
        <v>49096</v>
      </c>
      <c r="AB45" s="428">
        <v>49096</v>
      </c>
      <c r="AC45" s="428">
        <v>49096</v>
      </c>
      <c r="AD45" s="428">
        <v>49096</v>
      </c>
      <c r="AE45" s="428">
        <v>49096</v>
      </c>
      <c r="AF45" s="428">
        <v>49096</v>
      </c>
      <c r="AG45" s="428">
        <v>49096</v>
      </c>
      <c r="AH45" s="428">
        <v>49096</v>
      </c>
      <c r="AI45" s="428">
        <v>49096</v>
      </c>
      <c r="AJ45" s="429">
        <f>SUM(X45:AI45)</f>
        <v>589152</v>
      </c>
      <c r="AK45" s="46"/>
    </row>
    <row r="46" spans="1:37">
      <c r="A46" s="263"/>
      <c r="B46" s="263"/>
      <c r="C46" s="304">
        <v>0</v>
      </c>
      <c r="D46" s="325">
        <v>0</v>
      </c>
      <c r="E46" s="326" t="s">
        <v>19</v>
      </c>
      <c r="F46" s="327"/>
      <c r="G46" s="328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>
        <v>21820</v>
      </c>
      <c r="S46" s="325"/>
      <c r="T46" s="294">
        <f t="shared" si="12"/>
        <v>21820</v>
      </c>
      <c r="U46" s="304">
        <v>0</v>
      </c>
      <c r="V46" s="297">
        <f t="shared" si="13"/>
        <v>21820</v>
      </c>
      <c r="X46" s="430"/>
      <c r="Y46" s="430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>
        <f>1636.52*14</f>
        <v>22911.279999999999</v>
      </c>
      <c r="AJ46" s="429">
        <f t="shared" ref="AJ46:AJ58" si="14">SUM(X46:AI46)</f>
        <v>22911.279999999999</v>
      </c>
      <c r="AK46" s="46"/>
    </row>
    <row r="47" spans="1:37">
      <c r="A47" s="263"/>
      <c r="B47" s="263"/>
      <c r="C47" s="304">
        <v>42249.79</v>
      </c>
      <c r="D47" s="325">
        <v>44362.28</v>
      </c>
      <c r="E47" s="326" t="s">
        <v>20</v>
      </c>
      <c r="F47" s="327"/>
      <c r="G47" s="328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294">
        <v>47227</v>
      </c>
      <c r="S47" s="325"/>
      <c r="T47" s="294">
        <f t="shared" si="12"/>
        <v>47227</v>
      </c>
      <c r="U47" s="304">
        <v>0</v>
      </c>
      <c r="V47" s="297">
        <f t="shared" si="13"/>
        <v>47227</v>
      </c>
      <c r="X47" s="430"/>
      <c r="Y47" s="430"/>
      <c r="Z47" s="428"/>
      <c r="AA47" s="428"/>
      <c r="AB47" s="428"/>
      <c r="AC47" s="428"/>
      <c r="AD47" s="428"/>
      <c r="AE47" s="428"/>
      <c r="AF47" s="428"/>
      <c r="AG47" s="428"/>
      <c r="AH47" s="428"/>
      <c r="AI47" s="428">
        <v>49096</v>
      </c>
      <c r="AJ47" s="429">
        <f t="shared" si="14"/>
        <v>49096</v>
      </c>
      <c r="AK47" s="46"/>
    </row>
    <row r="48" spans="1:37">
      <c r="A48" s="263"/>
      <c r="B48" s="263"/>
      <c r="C48" s="304">
        <v>0</v>
      </c>
      <c r="D48" s="325">
        <v>0</v>
      </c>
      <c r="E48" s="326" t="s">
        <v>51</v>
      </c>
      <c r="F48" s="327"/>
      <c r="G48" s="328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294">
        <f t="shared" si="12"/>
        <v>0</v>
      </c>
      <c r="U48" s="304">
        <v>0</v>
      </c>
      <c r="V48" s="297">
        <f t="shared" si="13"/>
        <v>0</v>
      </c>
      <c r="X48" s="98">
        <f>+(G48*5%)+G48</f>
        <v>0</v>
      </c>
      <c r="Y48" s="98">
        <f t="shared" ref="Y48" si="15">+(H48*5%)+H48</f>
        <v>0</v>
      </c>
      <c r="Z48" s="98">
        <f t="shared" ref="Z48" si="16">+(I48*5%)+I48</f>
        <v>0</v>
      </c>
      <c r="AA48" s="98">
        <f t="shared" ref="AA48" si="17">+(J48*5%)+J48</f>
        <v>0</v>
      </c>
      <c r="AB48" s="98">
        <f t="shared" ref="AB48" si="18">+(K48*5%)+K48</f>
        <v>0</v>
      </c>
      <c r="AC48" s="98">
        <f t="shared" ref="AC48" si="19">+(L48*5%)+L48</f>
        <v>0</v>
      </c>
      <c r="AD48" s="98">
        <f t="shared" ref="AD48" si="20">+(M48*5%)+M48</f>
        <v>0</v>
      </c>
      <c r="AE48" s="98">
        <f t="shared" ref="AE48" si="21">+(N48*5%)+N48</f>
        <v>0</v>
      </c>
      <c r="AF48" s="98">
        <f t="shared" ref="AF48" si="22">+(O48*5%)+O48</f>
        <v>0</v>
      </c>
      <c r="AG48" s="98">
        <f t="shared" ref="AG48" si="23">+(P48*5%)+P48</f>
        <v>0</v>
      </c>
      <c r="AH48" s="98">
        <f t="shared" ref="AH48" si="24">+(Q48*5%)+Q48</f>
        <v>0</v>
      </c>
      <c r="AI48" s="98">
        <f t="shared" ref="AI48" si="25">+(R48*5%)+R48</f>
        <v>0</v>
      </c>
      <c r="AJ48" s="429">
        <f t="shared" si="14"/>
        <v>0</v>
      </c>
      <c r="AK48" s="46"/>
    </row>
    <row r="49" spans="1:37">
      <c r="A49" s="263"/>
      <c r="B49" s="263"/>
      <c r="C49" s="304">
        <v>83143.359999999986</v>
      </c>
      <c r="D49" s="325">
        <v>87208.8</v>
      </c>
      <c r="E49" s="326" t="s">
        <v>17</v>
      </c>
      <c r="F49" s="327"/>
      <c r="G49" s="328">
        <f>2697.83+5498.56+4381.33</f>
        <v>12577.72</v>
      </c>
      <c r="H49" s="294">
        <v>2547.91</v>
      </c>
      <c r="I49" s="294">
        <f>2181.3+5318.29+4237.68</f>
        <v>11737.27</v>
      </c>
      <c r="J49" s="294">
        <v>2547.91</v>
      </c>
      <c r="K49" s="294">
        <f>2181.3+5318.29+4237.68</f>
        <v>11737.27</v>
      </c>
      <c r="L49" s="294">
        <v>2834.09</v>
      </c>
      <c r="M49" s="294">
        <f>2181.3+5318.29+4237.68</f>
        <v>11737.27</v>
      </c>
      <c r="N49" s="294">
        <v>2834.09</v>
      </c>
      <c r="O49" s="294">
        <f>2181.3+5318.29+4237.68</f>
        <v>11737.27</v>
      </c>
      <c r="P49" s="294">
        <v>2834.09</v>
      </c>
      <c r="Q49" s="294">
        <f>2181.3+5318.29+4237.68</f>
        <v>11737.27</v>
      </c>
      <c r="R49" s="294">
        <v>14834</v>
      </c>
      <c r="S49" s="325"/>
      <c r="T49" s="294">
        <f t="shared" si="12"/>
        <v>99696.16</v>
      </c>
      <c r="U49" s="304">
        <v>94846</v>
      </c>
      <c r="V49" s="297">
        <f t="shared" si="13"/>
        <v>4850.1600000000035</v>
      </c>
      <c r="X49" s="98">
        <f t="shared" ref="X49:X58" si="26">+(G49*5%)+G49</f>
        <v>13206.606</v>
      </c>
      <c r="Y49" s="98">
        <f t="shared" ref="Y49:Y58" si="27">+(H49*5%)+H49</f>
        <v>2675.3054999999999</v>
      </c>
      <c r="Z49" s="98">
        <f t="shared" ref="Z49:Z58" si="28">+(I49*5%)+I49</f>
        <v>12324.1335</v>
      </c>
      <c r="AA49" s="98">
        <f t="shared" ref="AA49:AA58" si="29">+(J49*5%)+J49</f>
        <v>2675.3054999999999</v>
      </c>
      <c r="AB49" s="98">
        <f t="shared" ref="AB49:AB58" si="30">+(K49*5%)+K49</f>
        <v>12324.1335</v>
      </c>
      <c r="AC49" s="98">
        <f t="shared" ref="AC49:AC58" si="31">+(L49*5%)+L49</f>
        <v>2975.7945</v>
      </c>
      <c r="AD49" s="98">
        <f t="shared" ref="AD49:AD58" si="32">+(M49*5%)+M49</f>
        <v>12324.1335</v>
      </c>
      <c r="AE49" s="98">
        <f t="shared" ref="AE49:AE58" si="33">+(N49*5%)+N49</f>
        <v>2975.7945</v>
      </c>
      <c r="AF49" s="98">
        <f t="shared" ref="AF49:AF58" si="34">+(O49*5%)+O49</f>
        <v>12324.1335</v>
      </c>
      <c r="AG49" s="98">
        <f t="shared" ref="AG49:AG58" si="35">+(P49*5%)+P49</f>
        <v>2975.7945</v>
      </c>
      <c r="AH49" s="98">
        <f t="shared" ref="AH49:AH58" si="36">+(Q49*5%)+Q49</f>
        <v>12324.1335</v>
      </c>
      <c r="AI49" s="98">
        <v>2976</v>
      </c>
      <c r="AJ49" s="429">
        <f t="shared" si="14"/>
        <v>92081.267999999996</v>
      </c>
      <c r="AK49" s="46"/>
    </row>
    <row r="50" spans="1:37">
      <c r="A50" s="263"/>
      <c r="B50" s="263"/>
      <c r="C50" s="304">
        <v>15000</v>
      </c>
      <c r="D50" s="325">
        <v>2000</v>
      </c>
      <c r="E50" s="326" t="s">
        <v>53</v>
      </c>
      <c r="F50" s="327"/>
      <c r="G50" s="328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325"/>
      <c r="T50" s="294">
        <f t="shared" si="12"/>
        <v>0</v>
      </c>
      <c r="U50" s="304">
        <v>2100</v>
      </c>
      <c r="V50" s="297">
        <f t="shared" si="13"/>
        <v>-2100</v>
      </c>
      <c r="X50" s="98">
        <f t="shared" si="26"/>
        <v>0</v>
      </c>
      <c r="Y50" s="98">
        <f t="shared" si="27"/>
        <v>0</v>
      </c>
      <c r="Z50" s="98">
        <f t="shared" si="28"/>
        <v>0</v>
      </c>
      <c r="AA50" s="98">
        <f t="shared" si="29"/>
        <v>0</v>
      </c>
      <c r="AB50" s="98">
        <f t="shared" si="30"/>
        <v>0</v>
      </c>
      <c r="AC50" s="98">
        <f t="shared" si="31"/>
        <v>0</v>
      </c>
      <c r="AD50" s="98">
        <f t="shared" si="32"/>
        <v>0</v>
      </c>
      <c r="AE50" s="98">
        <f t="shared" si="33"/>
        <v>0</v>
      </c>
      <c r="AF50" s="98">
        <f t="shared" si="34"/>
        <v>0</v>
      </c>
      <c r="AG50" s="98">
        <f t="shared" si="35"/>
        <v>0</v>
      </c>
      <c r="AH50" s="98">
        <f t="shared" si="36"/>
        <v>0</v>
      </c>
      <c r="AI50" s="98">
        <f>+(R50*5%)+R50</f>
        <v>0</v>
      </c>
      <c r="AJ50" s="429">
        <f t="shared" si="14"/>
        <v>0</v>
      </c>
      <c r="AK50" s="46"/>
    </row>
    <row r="51" spans="1:37">
      <c r="A51" s="263"/>
      <c r="B51" s="263"/>
      <c r="C51" s="304">
        <v>5155.3099999999995</v>
      </c>
      <c r="D51" s="325">
        <v>5536.02</v>
      </c>
      <c r="E51" s="326" t="s">
        <v>22</v>
      </c>
      <c r="F51" s="327"/>
      <c r="G51" s="328">
        <v>331.44</v>
      </c>
      <c r="H51" s="294">
        <v>345.6</v>
      </c>
      <c r="I51" s="294"/>
      <c r="J51" s="294">
        <v>417.53</v>
      </c>
      <c r="K51" s="294"/>
      <c r="L51" s="294">
        <v>674.5</v>
      </c>
      <c r="M51" s="294">
        <v>330.4</v>
      </c>
      <c r="N51" s="294"/>
      <c r="O51" s="294">
        <v>1293.94</v>
      </c>
      <c r="P51" s="294">
        <v>439.2</v>
      </c>
      <c r="Q51" s="294">
        <v>396.04</v>
      </c>
      <c r="R51" s="294">
        <v>453</v>
      </c>
      <c r="S51" s="325"/>
      <c r="T51" s="294">
        <f t="shared" si="12"/>
        <v>4681.6499999999996</v>
      </c>
      <c r="U51" s="304">
        <v>5381.65</v>
      </c>
      <c r="V51" s="297">
        <f t="shared" si="13"/>
        <v>-700</v>
      </c>
      <c r="X51" s="98">
        <f t="shared" si="26"/>
        <v>348.012</v>
      </c>
      <c r="Y51" s="98">
        <f t="shared" si="27"/>
        <v>362.88</v>
      </c>
      <c r="Z51" s="98">
        <f t="shared" si="28"/>
        <v>0</v>
      </c>
      <c r="AA51" s="98">
        <f t="shared" si="29"/>
        <v>438.40649999999999</v>
      </c>
      <c r="AB51" s="98">
        <f t="shared" si="30"/>
        <v>0</v>
      </c>
      <c r="AC51" s="98">
        <f t="shared" si="31"/>
        <v>708.22500000000002</v>
      </c>
      <c r="AD51" s="98">
        <f t="shared" si="32"/>
        <v>346.91999999999996</v>
      </c>
      <c r="AE51" s="98">
        <f t="shared" si="33"/>
        <v>0</v>
      </c>
      <c r="AF51" s="98">
        <f t="shared" si="34"/>
        <v>1358.6370000000002</v>
      </c>
      <c r="AG51" s="98">
        <f t="shared" si="35"/>
        <v>461.15999999999997</v>
      </c>
      <c r="AH51" s="98">
        <f t="shared" si="36"/>
        <v>415.84200000000004</v>
      </c>
      <c r="AI51" s="98">
        <v>416</v>
      </c>
      <c r="AJ51" s="429">
        <f t="shared" si="14"/>
        <v>4856.0825000000004</v>
      </c>
      <c r="AK51" s="46"/>
    </row>
    <row r="52" spans="1:37">
      <c r="A52" s="263"/>
      <c r="B52" s="263"/>
      <c r="C52" s="304">
        <v>3930</v>
      </c>
      <c r="D52" s="325">
        <v>1772.7</v>
      </c>
      <c r="E52" s="326" t="s">
        <v>73</v>
      </c>
      <c r="F52" s="327"/>
      <c r="G52" s="328"/>
      <c r="H52" s="294"/>
      <c r="I52" s="294">
        <v>11</v>
      </c>
      <c r="J52" s="294"/>
      <c r="K52" s="294"/>
      <c r="L52" s="294"/>
      <c r="M52" s="294"/>
      <c r="N52" s="294">
        <v>184</v>
      </c>
      <c r="O52" s="294"/>
      <c r="P52" s="294"/>
      <c r="Q52" s="294"/>
      <c r="R52" s="294">
        <v>392</v>
      </c>
      <c r="S52" s="325"/>
      <c r="T52" s="294">
        <f t="shared" si="12"/>
        <v>587</v>
      </c>
      <c r="U52" s="304">
        <v>1861</v>
      </c>
      <c r="V52" s="297">
        <f t="shared" si="13"/>
        <v>-1274</v>
      </c>
      <c r="X52" s="98">
        <f t="shared" si="26"/>
        <v>0</v>
      </c>
      <c r="Y52" s="98">
        <f t="shared" si="27"/>
        <v>0</v>
      </c>
      <c r="Z52" s="98">
        <f t="shared" si="28"/>
        <v>11.55</v>
      </c>
      <c r="AA52" s="98">
        <f t="shared" si="29"/>
        <v>0</v>
      </c>
      <c r="AB52" s="98">
        <f t="shared" si="30"/>
        <v>0</v>
      </c>
      <c r="AC52" s="98">
        <f t="shared" si="31"/>
        <v>0</v>
      </c>
      <c r="AD52" s="98">
        <f t="shared" si="32"/>
        <v>0</v>
      </c>
      <c r="AE52" s="98">
        <f t="shared" si="33"/>
        <v>193.2</v>
      </c>
      <c r="AF52" s="98">
        <f t="shared" si="34"/>
        <v>0</v>
      </c>
      <c r="AG52" s="98">
        <f t="shared" si="35"/>
        <v>0</v>
      </c>
      <c r="AH52" s="98">
        <f t="shared" si="36"/>
        <v>0</v>
      </c>
      <c r="AI52" s="98">
        <f t="shared" ref="AI52:AI58" si="37">+(R52*5%)+R52</f>
        <v>411.6</v>
      </c>
      <c r="AJ52" s="429">
        <f t="shared" si="14"/>
        <v>616.35</v>
      </c>
      <c r="AK52" s="46"/>
    </row>
    <row r="53" spans="1:37">
      <c r="A53" s="263"/>
      <c r="B53" s="263"/>
      <c r="C53" s="304"/>
      <c r="D53" s="325">
        <v>935.1</v>
      </c>
      <c r="E53" s="326" t="s">
        <v>32</v>
      </c>
      <c r="F53" s="327"/>
      <c r="G53" s="328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325"/>
      <c r="T53" s="294">
        <f t="shared" si="12"/>
        <v>0</v>
      </c>
      <c r="U53" s="304">
        <v>0</v>
      </c>
      <c r="V53" s="297">
        <f t="shared" si="13"/>
        <v>0</v>
      </c>
      <c r="X53" s="98">
        <f t="shared" si="26"/>
        <v>0</v>
      </c>
      <c r="Y53" s="98">
        <f t="shared" si="27"/>
        <v>0</v>
      </c>
      <c r="Z53" s="98">
        <f t="shared" si="28"/>
        <v>0</v>
      </c>
      <c r="AA53" s="98">
        <f t="shared" si="29"/>
        <v>0</v>
      </c>
      <c r="AB53" s="98">
        <f t="shared" si="30"/>
        <v>0</v>
      </c>
      <c r="AC53" s="98">
        <f t="shared" si="31"/>
        <v>0</v>
      </c>
      <c r="AD53" s="98">
        <f t="shared" si="32"/>
        <v>0</v>
      </c>
      <c r="AE53" s="98">
        <f t="shared" si="33"/>
        <v>0</v>
      </c>
      <c r="AF53" s="98">
        <f t="shared" si="34"/>
        <v>0</v>
      </c>
      <c r="AG53" s="98">
        <f t="shared" si="35"/>
        <v>0</v>
      </c>
      <c r="AH53" s="98">
        <f t="shared" si="36"/>
        <v>0</v>
      </c>
      <c r="AI53" s="98">
        <f t="shared" si="37"/>
        <v>0</v>
      </c>
      <c r="AJ53" s="429">
        <f t="shared" si="14"/>
        <v>0</v>
      </c>
      <c r="AK53" s="46"/>
    </row>
    <row r="54" spans="1:37">
      <c r="A54" s="263"/>
      <c r="B54" s="263"/>
      <c r="C54" s="304">
        <v>11877.8</v>
      </c>
      <c r="D54" s="325">
        <v>0</v>
      </c>
      <c r="E54" s="326" t="s">
        <v>33</v>
      </c>
      <c r="F54" s="327"/>
      <c r="G54" s="328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325"/>
      <c r="T54" s="294">
        <f t="shared" si="12"/>
        <v>0</v>
      </c>
      <c r="U54" s="304">
        <v>0</v>
      </c>
      <c r="V54" s="297">
        <f t="shared" si="13"/>
        <v>0</v>
      </c>
      <c r="X54" s="98">
        <f t="shared" si="26"/>
        <v>0</v>
      </c>
      <c r="Y54" s="98">
        <f t="shared" si="27"/>
        <v>0</v>
      </c>
      <c r="Z54" s="98">
        <f t="shared" si="28"/>
        <v>0</v>
      </c>
      <c r="AA54" s="98">
        <f t="shared" si="29"/>
        <v>0</v>
      </c>
      <c r="AB54" s="98">
        <f t="shared" si="30"/>
        <v>0</v>
      </c>
      <c r="AC54" s="98">
        <f t="shared" si="31"/>
        <v>0</v>
      </c>
      <c r="AD54" s="98">
        <f t="shared" si="32"/>
        <v>0</v>
      </c>
      <c r="AE54" s="98">
        <f t="shared" si="33"/>
        <v>0</v>
      </c>
      <c r="AF54" s="98">
        <f t="shared" si="34"/>
        <v>0</v>
      </c>
      <c r="AG54" s="98">
        <f t="shared" si="35"/>
        <v>0</v>
      </c>
      <c r="AH54" s="98">
        <f t="shared" si="36"/>
        <v>0</v>
      </c>
      <c r="AI54" s="98">
        <f t="shared" si="37"/>
        <v>0</v>
      </c>
      <c r="AJ54" s="429">
        <f t="shared" si="14"/>
        <v>0</v>
      </c>
      <c r="AK54" s="46"/>
    </row>
    <row r="55" spans="1:37">
      <c r="A55" s="263"/>
      <c r="B55" s="263"/>
      <c r="C55" s="304">
        <v>29974.1</v>
      </c>
      <c r="D55" s="325">
        <v>76534.649999999994</v>
      </c>
      <c r="E55" s="326" t="s">
        <v>35</v>
      </c>
      <c r="F55" s="327"/>
      <c r="G55" s="328">
        <v>1244.45</v>
      </c>
      <c r="H55" s="325">
        <v>652</v>
      </c>
      <c r="I55" s="325">
        <v>4487</v>
      </c>
      <c r="J55" s="325"/>
      <c r="K55" s="325"/>
      <c r="L55" s="325"/>
      <c r="M55" s="325"/>
      <c r="N55" s="325"/>
      <c r="O55" s="325">
        <v>7391</v>
      </c>
      <c r="P55" s="325">
        <v>10622.28</v>
      </c>
      <c r="Q55" s="325"/>
      <c r="R55" s="294">
        <v>5159</v>
      </c>
      <c r="S55" s="325"/>
      <c r="T55" s="294">
        <f t="shared" si="12"/>
        <v>29555.730000000003</v>
      </c>
      <c r="U55" s="304">
        <v>57822.14</v>
      </c>
      <c r="V55" s="297">
        <f t="shared" si="13"/>
        <v>-28266.409999999996</v>
      </c>
      <c r="X55" s="98">
        <f t="shared" si="26"/>
        <v>1306.6725000000001</v>
      </c>
      <c r="Y55" s="98">
        <f t="shared" si="27"/>
        <v>684.6</v>
      </c>
      <c r="Z55" s="98">
        <f t="shared" si="28"/>
        <v>4711.3500000000004</v>
      </c>
      <c r="AA55" s="98">
        <f t="shared" si="29"/>
        <v>0</v>
      </c>
      <c r="AB55" s="98">
        <f t="shared" si="30"/>
        <v>0</v>
      </c>
      <c r="AC55" s="98">
        <f t="shared" si="31"/>
        <v>0</v>
      </c>
      <c r="AD55" s="98">
        <f t="shared" si="32"/>
        <v>0</v>
      </c>
      <c r="AE55" s="98">
        <f t="shared" si="33"/>
        <v>0</v>
      </c>
      <c r="AF55" s="98">
        <f t="shared" si="34"/>
        <v>7760.55</v>
      </c>
      <c r="AG55" s="98">
        <f t="shared" si="35"/>
        <v>11153.394</v>
      </c>
      <c r="AH55" s="98">
        <f t="shared" si="36"/>
        <v>0</v>
      </c>
      <c r="AI55" s="98">
        <f t="shared" si="37"/>
        <v>5416.95</v>
      </c>
      <c r="AJ55" s="429">
        <f t="shared" si="14"/>
        <v>31033.516500000002</v>
      </c>
      <c r="AK55" s="46"/>
    </row>
    <row r="56" spans="1:37">
      <c r="A56" s="263"/>
      <c r="B56" s="263"/>
      <c r="C56" s="304">
        <v>6820</v>
      </c>
      <c r="D56" s="325">
        <v>6192.29</v>
      </c>
      <c r="E56" s="326" t="s">
        <v>38</v>
      </c>
      <c r="F56" s="327"/>
      <c r="G56" s="328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294"/>
      <c r="S56" s="325"/>
      <c r="T56" s="294">
        <f t="shared" si="12"/>
        <v>0</v>
      </c>
      <c r="U56" s="304">
        <v>6501.9</v>
      </c>
      <c r="V56" s="297">
        <f t="shared" si="13"/>
        <v>-6501.9</v>
      </c>
      <c r="X56" s="98">
        <f t="shared" si="26"/>
        <v>0</v>
      </c>
      <c r="Y56" s="98">
        <f t="shared" si="27"/>
        <v>0</v>
      </c>
      <c r="Z56" s="98">
        <f t="shared" si="28"/>
        <v>0</v>
      </c>
      <c r="AA56" s="98">
        <f t="shared" si="29"/>
        <v>0</v>
      </c>
      <c r="AB56" s="98">
        <f t="shared" si="30"/>
        <v>0</v>
      </c>
      <c r="AC56" s="98">
        <f t="shared" si="31"/>
        <v>0</v>
      </c>
      <c r="AD56" s="98">
        <f t="shared" si="32"/>
        <v>0</v>
      </c>
      <c r="AE56" s="98">
        <f t="shared" si="33"/>
        <v>0</v>
      </c>
      <c r="AF56" s="98">
        <f t="shared" si="34"/>
        <v>0</v>
      </c>
      <c r="AG56" s="98">
        <f t="shared" si="35"/>
        <v>0</v>
      </c>
      <c r="AH56" s="98">
        <f t="shared" si="36"/>
        <v>0</v>
      </c>
      <c r="AI56" s="98">
        <f t="shared" si="37"/>
        <v>0</v>
      </c>
      <c r="AJ56" s="429">
        <f t="shared" si="14"/>
        <v>0</v>
      </c>
      <c r="AK56" s="46"/>
    </row>
    <row r="57" spans="1:37">
      <c r="A57" s="263"/>
      <c r="B57" s="263"/>
      <c r="C57" s="304">
        <v>801</v>
      </c>
      <c r="D57" s="325">
        <v>0</v>
      </c>
      <c r="E57" s="326" t="s">
        <v>78</v>
      </c>
      <c r="F57" s="327"/>
      <c r="G57" s="328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294">
        <f t="shared" si="12"/>
        <v>0</v>
      </c>
      <c r="U57" s="304">
        <v>0</v>
      </c>
      <c r="V57" s="297">
        <f t="shared" si="13"/>
        <v>0</v>
      </c>
      <c r="X57" s="98">
        <f t="shared" si="26"/>
        <v>0</v>
      </c>
      <c r="Y57" s="98">
        <f t="shared" si="27"/>
        <v>0</v>
      </c>
      <c r="Z57" s="98">
        <f t="shared" si="28"/>
        <v>0</v>
      </c>
      <c r="AA57" s="98">
        <f t="shared" si="29"/>
        <v>0</v>
      </c>
      <c r="AB57" s="98">
        <f t="shared" si="30"/>
        <v>0</v>
      </c>
      <c r="AC57" s="98">
        <f t="shared" si="31"/>
        <v>0</v>
      </c>
      <c r="AD57" s="98">
        <f t="shared" si="32"/>
        <v>0</v>
      </c>
      <c r="AE57" s="98">
        <f t="shared" si="33"/>
        <v>0</v>
      </c>
      <c r="AF57" s="98">
        <f t="shared" si="34"/>
        <v>0</v>
      </c>
      <c r="AG57" s="98">
        <f t="shared" si="35"/>
        <v>0</v>
      </c>
      <c r="AH57" s="98">
        <f t="shared" si="36"/>
        <v>0</v>
      </c>
      <c r="AI57" s="98">
        <f t="shared" si="37"/>
        <v>0</v>
      </c>
      <c r="AJ57" s="429">
        <f t="shared" si="14"/>
        <v>0</v>
      </c>
      <c r="AK57" s="46"/>
    </row>
    <row r="58" spans="1:37">
      <c r="A58" s="263"/>
      <c r="B58" s="263"/>
      <c r="C58" s="304">
        <v>0</v>
      </c>
      <c r="D58" s="325">
        <v>0</v>
      </c>
      <c r="E58" s="326" t="s">
        <v>40</v>
      </c>
      <c r="F58" s="327"/>
      <c r="G58" s="328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294">
        <f t="shared" si="12"/>
        <v>0</v>
      </c>
      <c r="U58" s="310">
        <v>0</v>
      </c>
      <c r="V58" s="297">
        <f t="shared" si="13"/>
        <v>0</v>
      </c>
      <c r="X58" s="431">
        <f t="shared" si="26"/>
        <v>0</v>
      </c>
      <c r="Y58" s="431">
        <f t="shared" si="27"/>
        <v>0</v>
      </c>
      <c r="Z58" s="431">
        <f t="shared" si="28"/>
        <v>0</v>
      </c>
      <c r="AA58" s="431">
        <f t="shared" si="29"/>
        <v>0</v>
      </c>
      <c r="AB58" s="431">
        <f t="shared" si="30"/>
        <v>0</v>
      </c>
      <c r="AC58" s="431">
        <f t="shared" si="31"/>
        <v>0</v>
      </c>
      <c r="AD58" s="431">
        <f t="shared" si="32"/>
        <v>0</v>
      </c>
      <c r="AE58" s="431">
        <f t="shared" si="33"/>
        <v>0</v>
      </c>
      <c r="AF58" s="431">
        <f t="shared" si="34"/>
        <v>0</v>
      </c>
      <c r="AG58" s="431">
        <f t="shared" si="35"/>
        <v>0</v>
      </c>
      <c r="AH58" s="431">
        <f t="shared" si="36"/>
        <v>0</v>
      </c>
      <c r="AI58" s="431">
        <f t="shared" si="37"/>
        <v>0</v>
      </c>
      <c r="AJ58" s="432">
        <f t="shared" si="14"/>
        <v>0</v>
      </c>
      <c r="AK58" s="46"/>
    </row>
    <row r="59" spans="1:37" ht="15">
      <c r="A59" s="263"/>
      <c r="B59" s="263"/>
      <c r="C59" s="311">
        <v>702307.3</v>
      </c>
      <c r="D59" s="311">
        <f>SUM(D45:D55)</f>
        <v>753805.75000000012</v>
      </c>
      <c r="E59" s="329" t="s">
        <v>97</v>
      </c>
      <c r="F59" s="330"/>
      <c r="G59" s="311">
        <f>SUM(G45:G55)</f>
        <v>61380.85</v>
      </c>
      <c r="H59" s="311">
        <f>SUM(H45:H58)</f>
        <v>50772.749999999993</v>
      </c>
      <c r="I59" s="311">
        <f>SUM(I45:I58)</f>
        <v>63462.509999999995</v>
      </c>
      <c r="J59" s="311">
        <f>SUM(J45:J58)</f>
        <v>50192.679999999993</v>
      </c>
      <c r="K59" s="311">
        <f>SUM(K45:K58)</f>
        <v>58964.509999999995</v>
      </c>
      <c r="L59" s="311">
        <f t="shared" ref="L59:V59" si="38">SUM(L45:L58)</f>
        <v>50735.59</v>
      </c>
      <c r="M59" s="311">
        <f t="shared" si="38"/>
        <v>59294.909999999996</v>
      </c>
      <c r="N59" s="311">
        <f t="shared" si="38"/>
        <v>50245.33</v>
      </c>
      <c r="O59" s="311">
        <f t="shared" si="38"/>
        <v>67649.45</v>
      </c>
      <c r="P59" s="311">
        <f t="shared" si="38"/>
        <v>61122.81</v>
      </c>
      <c r="Q59" s="311">
        <f t="shared" si="38"/>
        <v>59360.549999999996</v>
      </c>
      <c r="R59" s="311">
        <f t="shared" si="38"/>
        <v>137112</v>
      </c>
      <c r="S59" s="311">
        <f t="shared" si="38"/>
        <v>0</v>
      </c>
      <c r="T59" s="311">
        <f t="shared" si="38"/>
        <v>770293.94</v>
      </c>
      <c r="U59" s="311">
        <f t="shared" si="38"/>
        <v>682848.05</v>
      </c>
      <c r="V59" s="311">
        <f t="shared" si="38"/>
        <v>87445.889999999927</v>
      </c>
      <c r="X59" s="311">
        <f>SUM(X45:X55)</f>
        <v>63957.290500000003</v>
      </c>
      <c r="Y59" s="311">
        <f>SUM(Y45:Y58)</f>
        <v>52818.785499999998</v>
      </c>
      <c r="Z59" s="311">
        <f>SUM(Z45:Z58)</f>
        <v>66143.033500000005</v>
      </c>
      <c r="AA59" s="311">
        <f>SUM(AA45:AA58)</f>
        <v>52209.712</v>
      </c>
      <c r="AB59" s="311">
        <f>SUM(AB45:AB58)</f>
        <v>61420.133499999996</v>
      </c>
      <c r="AC59" s="311">
        <f t="shared" ref="AC59:AJ59" si="39">SUM(AC45:AC58)</f>
        <v>52780.019500000002</v>
      </c>
      <c r="AD59" s="311">
        <f t="shared" si="39"/>
        <v>61767.053499999995</v>
      </c>
      <c r="AE59" s="311">
        <f t="shared" si="39"/>
        <v>52264.994500000001</v>
      </c>
      <c r="AF59" s="311">
        <f t="shared" si="39"/>
        <v>70539.320500000002</v>
      </c>
      <c r="AG59" s="311">
        <f t="shared" si="39"/>
        <v>63686.348500000007</v>
      </c>
      <c r="AH59" s="311">
        <f t="shared" si="39"/>
        <v>61835.975499999993</v>
      </c>
      <c r="AI59" s="311">
        <f t="shared" si="39"/>
        <v>130323.83</v>
      </c>
      <c r="AJ59" s="311">
        <f t="shared" si="39"/>
        <v>789746.49700000009</v>
      </c>
      <c r="AK59" s="46"/>
    </row>
    <row r="60" spans="1:37">
      <c r="A60" s="263"/>
      <c r="B60" s="263"/>
      <c r="C60" s="265"/>
      <c r="D60" s="316"/>
      <c r="E60" s="331"/>
      <c r="F60" s="331"/>
      <c r="G60" s="332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V60" s="318"/>
      <c r="X60" s="263"/>
      <c r="Y60" s="263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46"/>
      <c r="AK60" s="46"/>
    </row>
    <row r="61" spans="1:37">
      <c r="A61" s="263"/>
      <c r="B61" s="263"/>
      <c r="C61" s="265"/>
      <c r="D61" s="316"/>
      <c r="E61" s="263"/>
      <c r="F61" s="263"/>
      <c r="G61" s="265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V61" s="318"/>
      <c r="X61" s="263"/>
      <c r="Y61" s="263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46"/>
      <c r="AK61" s="46"/>
    </row>
    <row r="62" spans="1:37" ht="15">
      <c r="A62" s="263"/>
      <c r="B62" s="263"/>
      <c r="C62" s="319"/>
      <c r="D62" s="320"/>
      <c r="E62" s="333" t="s">
        <v>18</v>
      </c>
      <c r="F62" s="322"/>
      <c r="G62" s="334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20"/>
      <c r="U62" s="319"/>
      <c r="V62" s="324"/>
      <c r="X62" s="433"/>
      <c r="Y62" s="433"/>
      <c r="Z62" s="434"/>
      <c r="AA62" s="434"/>
      <c r="AB62" s="434"/>
      <c r="AC62" s="434"/>
      <c r="AD62" s="434"/>
      <c r="AE62" s="434"/>
      <c r="AF62" s="434"/>
      <c r="AG62" s="434"/>
      <c r="AH62" s="434"/>
      <c r="AI62" s="434"/>
      <c r="AJ62" s="435"/>
      <c r="AK62" s="46"/>
    </row>
    <row r="63" spans="1:37" ht="15">
      <c r="A63" s="263"/>
      <c r="B63" s="263"/>
      <c r="C63" s="304">
        <v>4400171.3100000005</v>
      </c>
      <c r="D63" s="325">
        <v>5031877.83</v>
      </c>
      <c r="E63" s="326" t="s">
        <v>16</v>
      </c>
      <c r="F63" s="336"/>
      <c r="G63" s="328">
        <v>437087.71</v>
      </c>
      <c r="H63" s="325">
        <v>432108.5</v>
      </c>
      <c r="I63" s="325">
        <v>507757.51</v>
      </c>
      <c r="J63" s="325">
        <v>444044</v>
      </c>
      <c r="K63" s="325">
        <v>411591.63</v>
      </c>
      <c r="L63" s="325">
        <v>428579.96</v>
      </c>
      <c r="M63" s="325">
        <v>475317.15</v>
      </c>
      <c r="N63" s="325">
        <v>427815.82</v>
      </c>
      <c r="O63" s="325">
        <v>481461.83</v>
      </c>
      <c r="P63" s="325">
        <v>401382.38</v>
      </c>
      <c r="Q63" s="325">
        <v>423664.95</v>
      </c>
      <c r="R63" s="294">
        <v>472795</v>
      </c>
      <c r="S63" s="325"/>
      <c r="T63" s="294">
        <f t="shared" ref="T63:T106" si="40">SUM(G63:R63)+S63</f>
        <v>5343606.4400000004</v>
      </c>
      <c r="U63" s="304">
        <v>4819401</v>
      </c>
      <c r="V63" s="297">
        <f t="shared" ref="V63:V106" si="41">+T63-U63</f>
        <v>524205.44000000041</v>
      </c>
      <c r="X63" s="428">
        <v>448191.47</v>
      </c>
      <c r="Y63" s="428">
        <v>448191.47</v>
      </c>
      <c r="Z63" s="428">
        <v>500252.55999999994</v>
      </c>
      <c r="AA63" s="428">
        <v>448191.47</v>
      </c>
      <c r="AB63" s="428">
        <v>448191.47</v>
      </c>
      <c r="AC63" s="428">
        <v>500252.55999999994</v>
      </c>
      <c r="AD63" s="428">
        <v>448191.47</v>
      </c>
      <c r="AE63" s="428">
        <v>448191.47</v>
      </c>
      <c r="AF63" s="428">
        <v>500252.55999999994</v>
      </c>
      <c r="AG63" s="428">
        <v>448191.47</v>
      </c>
      <c r="AH63" s="428">
        <v>448191.47</v>
      </c>
      <c r="AI63" s="428">
        <v>500252.55999999994</v>
      </c>
      <c r="AJ63" s="429">
        <f>SUM(X63:AI63)</f>
        <v>5586541.9999999991</v>
      </c>
      <c r="AK63" s="46"/>
    </row>
    <row r="64" spans="1:37" ht="15">
      <c r="A64" s="263"/>
      <c r="B64" s="263"/>
      <c r="C64" s="304">
        <v>375199.14000000007</v>
      </c>
      <c r="D64" s="325">
        <v>338809.29999999993</v>
      </c>
      <c r="E64" s="326" t="s">
        <v>58</v>
      </c>
      <c r="F64" s="336"/>
      <c r="G64" s="328">
        <v>24110</v>
      </c>
      <c r="H64" s="325">
        <v>24110</v>
      </c>
      <c r="I64" s="325">
        <v>24110</v>
      </c>
      <c r="J64" s="325">
        <v>33630</v>
      </c>
      <c r="K64" s="325">
        <v>30630.1</v>
      </c>
      <c r="L64" s="325">
        <v>30630</v>
      </c>
      <c r="M64" s="325">
        <v>30630.1</v>
      </c>
      <c r="N64" s="325">
        <v>24110</v>
      </c>
      <c r="O64" s="325">
        <v>34440.82</v>
      </c>
      <c r="P64" s="325">
        <v>30796.560000000001</v>
      </c>
      <c r="Q64" s="325">
        <v>46430.57</v>
      </c>
      <c r="R64" s="294">
        <v>24600</v>
      </c>
      <c r="S64" s="325"/>
      <c r="T64" s="294">
        <f t="shared" si="40"/>
        <v>358228.15</v>
      </c>
      <c r="U64" s="304">
        <v>280440</v>
      </c>
      <c r="V64" s="297">
        <f t="shared" si="41"/>
        <v>77788.150000000023</v>
      </c>
      <c r="X64" s="428">
        <v>33794</v>
      </c>
      <c r="Y64" s="428">
        <v>33794</v>
      </c>
      <c r="Z64" s="428">
        <v>33794</v>
      </c>
      <c r="AA64" s="428">
        <v>33794</v>
      </c>
      <c r="AB64" s="428">
        <v>33794</v>
      </c>
      <c r="AC64" s="428">
        <v>33794</v>
      </c>
      <c r="AD64" s="428">
        <v>33794</v>
      </c>
      <c r="AE64" s="428">
        <f>33794+4842</f>
        <v>38636</v>
      </c>
      <c r="AF64" s="428">
        <v>33794</v>
      </c>
      <c r="AG64" s="428">
        <f>33794+12055</f>
        <v>45849</v>
      </c>
      <c r="AH64" s="428">
        <v>33794</v>
      </c>
      <c r="AI64" s="428">
        <f>33794+33794</f>
        <v>67588</v>
      </c>
      <c r="AJ64" s="429">
        <f>SUM(X64:AI64)</f>
        <v>456219</v>
      </c>
      <c r="AK64" s="46"/>
    </row>
    <row r="65" spans="1:39" ht="15">
      <c r="A65" s="263"/>
      <c r="B65" s="263"/>
      <c r="C65" s="304">
        <v>131801.47</v>
      </c>
      <c r="D65" s="325">
        <v>200782.62</v>
      </c>
      <c r="E65" s="326" t="s">
        <v>19</v>
      </c>
      <c r="F65" s="336"/>
      <c r="G65" s="328">
        <v>8023.6</v>
      </c>
      <c r="H65" s="325">
        <v>7110.58</v>
      </c>
      <c r="I65" s="325">
        <v>4979.55</v>
      </c>
      <c r="J65" s="325">
        <v>28022.41</v>
      </c>
      <c r="K65" s="325">
        <v>45278.239999999998</v>
      </c>
      <c r="L65" s="325">
        <v>27930.28</v>
      </c>
      <c r="M65" s="325">
        <v>3199.18</v>
      </c>
      <c r="N65" s="325">
        <v>16010.32</v>
      </c>
      <c r="O65" s="325">
        <v>25984.6</v>
      </c>
      <c r="P65" s="294">
        <v>18140.150000000001</v>
      </c>
      <c r="Q65" s="325">
        <f>13513.95+6976.72</f>
        <v>20490.670000000002</v>
      </c>
      <c r="R65" s="294">
        <v>7976</v>
      </c>
      <c r="S65" s="325"/>
      <c r="T65" s="294">
        <f t="shared" si="40"/>
        <v>213145.58000000002</v>
      </c>
      <c r="U65" s="304">
        <v>198225.26</v>
      </c>
      <c r="V65" s="297">
        <f t="shared" si="41"/>
        <v>14920.320000000007</v>
      </c>
      <c r="X65" s="428">
        <f>239695/12</f>
        <v>19974.583333333332</v>
      </c>
      <c r="Y65" s="428">
        <f t="shared" ref="Y65:AI65" si="42">239695/12</f>
        <v>19974.583333333332</v>
      </c>
      <c r="Z65" s="428">
        <f t="shared" si="42"/>
        <v>19974.583333333332</v>
      </c>
      <c r="AA65" s="428">
        <f t="shared" si="42"/>
        <v>19974.583333333332</v>
      </c>
      <c r="AB65" s="428">
        <f t="shared" si="42"/>
        <v>19974.583333333332</v>
      </c>
      <c r="AC65" s="428">
        <f t="shared" si="42"/>
        <v>19974.583333333332</v>
      </c>
      <c r="AD65" s="428">
        <f t="shared" si="42"/>
        <v>19974.583333333332</v>
      </c>
      <c r="AE65" s="428">
        <f t="shared" si="42"/>
        <v>19974.583333333332</v>
      </c>
      <c r="AF65" s="428">
        <f t="shared" si="42"/>
        <v>19974.583333333332</v>
      </c>
      <c r="AG65" s="428">
        <f t="shared" si="42"/>
        <v>19974.583333333332</v>
      </c>
      <c r="AH65" s="428">
        <f t="shared" si="42"/>
        <v>19974.583333333332</v>
      </c>
      <c r="AI65" s="428">
        <f t="shared" si="42"/>
        <v>19974.583333333332</v>
      </c>
      <c r="AJ65" s="429">
        <f t="shared" ref="AJ65:AJ106" si="43">SUM(X65:AI65)</f>
        <v>239695.00000000003</v>
      </c>
      <c r="AK65" s="46"/>
    </row>
    <row r="66" spans="1:39" ht="15">
      <c r="A66" s="263"/>
      <c r="B66" s="263"/>
      <c r="C66" s="304">
        <v>374804.08</v>
      </c>
      <c r="D66" s="325">
        <v>418478.52999999997</v>
      </c>
      <c r="E66" s="326" t="s">
        <v>20</v>
      </c>
      <c r="F66" s="336"/>
      <c r="G66" s="328"/>
      <c r="H66" s="325"/>
      <c r="I66" s="325"/>
      <c r="J66" s="325"/>
      <c r="K66" s="325"/>
      <c r="L66" s="325">
        <v>5023.55</v>
      </c>
      <c r="M66" s="325">
        <v>1466.1</v>
      </c>
      <c r="N66" s="325">
        <v>3347.3</v>
      </c>
      <c r="O66" s="325"/>
      <c r="P66" s="325"/>
      <c r="Q66" s="325">
        <v>8026.04</v>
      </c>
      <c r="R66" s="328">
        <v>472795</v>
      </c>
      <c r="S66" s="325"/>
      <c r="T66" s="294">
        <f t="shared" si="40"/>
        <v>490657.99</v>
      </c>
      <c r="U66" s="304">
        <v>0</v>
      </c>
      <c r="V66" s="297">
        <f t="shared" si="41"/>
        <v>490657.99</v>
      </c>
      <c r="X66" s="430"/>
      <c r="Y66" s="430"/>
      <c r="Z66" s="428"/>
      <c r="AA66" s="428"/>
      <c r="AB66" s="428"/>
      <c r="AC66" s="428"/>
      <c r="AD66" s="428"/>
      <c r="AE66" s="428"/>
      <c r="AF66" s="428"/>
      <c r="AG66" s="428"/>
      <c r="AH66" s="428"/>
      <c r="AI66" s="428">
        <v>500252.55999999994</v>
      </c>
      <c r="AJ66" s="429">
        <f t="shared" si="43"/>
        <v>500252.55999999994</v>
      </c>
      <c r="AK66" s="46"/>
    </row>
    <row r="67" spans="1:39" ht="15">
      <c r="A67" s="263"/>
      <c r="B67" s="263"/>
      <c r="C67" s="304">
        <v>5000</v>
      </c>
      <c r="D67" s="325">
        <v>1000</v>
      </c>
      <c r="E67" s="326" t="s">
        <v>51</v>
      </c>
      <c r="F67" s="336"/>
      <c r="G67" s="328"/>
      <c r="H67" s="325"/>
      <c r="I67" s="325"/>
      <c r="J67" s="325"/>
      <c r="K67" s="325"/>
      <c r="L67" s="325">
        <v>2580.1</v>
      </c>
      <c r="M67" s="325">
        <v>2000</v>
      </c>
      <c r="N67" s="325"/>
      <c r="O67" s="325"/>
      <c r="P67" s="325"/>
      <c r="Q67" s="325"/>
      <c r="R67" s="328"/>
      <c r="S67" s="325"/>
      <c r="T67" s="294">
        <f t="shared" si="40"/>
        <v>4580.1000000000004</v>
      </c>
      <c r="U67" s="304">
        <v>1050</v>
      </c>
      <c r="V67" s="297">
        <f t="shared" si="41"/>
        <v>3530.1000000000004</v>
      </c>
      <c r="X67" s="430"/>
      <c r="Y67" s="430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9">
        <f t="shared" si="43"/>
        <v>0</v>
      </c>
      <c r="AK67" s="46"/>
    </row>
    <row r="68" spans="1:39" ht="15">
      <c r="A68" s="263"/>
      <c r="B68" s="263"/>
      <c r="C68" s="304">
        <v>4929</v>
      </c>
      <c r="D68" s="325">
        <v>0</v>
      </c>
      <c r="E68" s="326" t="s">
        <v>52</v>
      </c>
      <c r="F68" s="336"/>
      <c r="G68" s="328"/>
      <c r="H68" s="325"/>
      <c r="I68" s="325"/>
      <c r="J68" s="325"/>
      <c r="K68" s="325"/>
      <c r="L68" s="325"/>
      <c r="M68" s="325">
        <v>10720</v>
      </c>
      <c r="N68" s="325"/>
      <c r="O68" s="325"/>
      <c r="P68" s="325">
        <v>1520</v>
      </c>
      <c r="Q68" s="325"/>
      <c r="R68" s="325"/>
      <c r="S68" s="325"/>
      <c r="T68" s="294">
        <f t="shared" si="40"/>
        <v>12240</v>
      </c>
      <c r="U68" s="304">
        <v>0</v>
      </c>
      <c r="V68" s="297">
        <f t="shared" si="41"/>
        <v>12240</v>
      </c>
      <c r="X68" s="98">
        <f>+(G68*5%)+G68</f>
        <v>0</v>
      </c>
      <c r="Y68" s="98">
        <f t="shared" ref="Y68:AI68" si="44">+(H68*5%)+H68</f>
        <v>0</v>
      </c>
      <c r="Z68" s="98">
        <f t="shared" si="44"/>
        <v>0</v>
      </c>
      <c r="AA68" s="98">
        <f t="shared" si="44"/>
        <v>0</v>
      </c>
      <c r="AB68" s="98">
        <f t="shared" si="44"/>
        <v>0</v>
      </c>
      <c r="AC68" s="98">
        <f t="shared" si="44"/>
        <v>0</v>
      </c>
      <c r="AD68" s="98">
        <f t="shared" si="44"/>
        <v>11256</v>
      </c>
      <c r="AE68" s="98">
        <f t="shared" si="44"/>
        <v>0</v>
      </c>
      <c r="AF68" s="98">
        <f t="shared" si="44"/>
        <v>0</v>
      </c>
      <c r="AG68" s="98">
        <f t="shared" si="44"/>
        <v>1596</v>
      </c>
      <c r="AH68" s="98">
        <f t="shared" si="44"/>
        <v>0</v>
      </c>
      <c r="AI68" s="98">
        <f t="shared" si="44"/>
        <v>0</v>
      </c>
      <c r="AJ68" s="429">
        <f t="shared" si="43"/>
        <v>12852</v>
      </c>
      <c r="AK68" s="46"/>
    </row>
    <row r="69" spans="1:39" ht="15">
      <c r="A69" s="263"/>
      <c r="B69" s="263"/>
      <c r="C69" s="304">
        <v>899632.8899999999</v>
      </c>
      <c r="D69" s="325">
        <v>1008202.87</v>
      </c>
      <c r="E69" s="326" t="s">
        <v>17</v>
      </c>
      <c r="F69" s="336"/>
      <c r="G69" s="328">
        <f>34988.92+54825.73+43685.82</f>
        <v>133500.47</v>
      </c>
      <c r="H69" s="325">
        <v>37373.25</v>
      </c>
      <c r="I69" s="325">
        <f>37438.01+56571.6+45077.1</f>
        <v>139086.71</v>
      </c>
      <c r="J69" s="325">
        <v>40286.519999999997</v>
      </c>
      <c r="K69" s="325">
        <f>39358.01+59832.53+47675.34</f>
        <v>146865.88</v>
      </c>
      <c r="L69" s="325">
        <v>41054.5</v>
      </c>
      <c r="M69" s="325">
        <f>39005.6+59680.13+47553.9</f>
        <v>146239.63</v>
      </c>
      <c r="N69" s="325">
        <v>40151.71</v>
      </c>
      <c r="O69" s="325">
        <f>39459.12+58334.55+46481.73</f>
        <v>144275.40000000002</v>
      </c>
      <c r="P69" s="325">
        <v>36331.97</v>
      </c>
      <c r="Q69" s="325">
        <f>39166.95+55722.96+44400.77</f>
        <v>139290.68</v>
      </c>
      <c r="R69" s="294">
        <v>36332</v>
      </c>
      <c r="S69" s="325"/>
      <c r="T69" s="294">
        <f t="shared" si="40"/>
        <v>1080788.72</v>
      </c>
      <c r="U69" s="304">
        <v>1003347</v>
      </c>
      <c r="V69" s="297">
        <f t="shared" si="41"/>
        <v>77441.719999999972</v>
      </c>
      <c r="X69" s="98">
        <f>+(G69*5%)+G69</f>
        <v>140175.49350000001</v>
      </c>
      <c r="Y69" s="98">
        <f>+(H69*5%)+H69</f>
        <v>39241.912499999999</v>
      </c>
      <c r="Z69" s="98">
        <f t="shared" ref="Z69:Z106" si="45">+(I69*5%)+I69</f>
        <v>146041.04549999998</v>
      </c>
      <c r="AA69" s="98">
        <f t="shared" ref="AA69:AA106" si="46">+(J69*5%)+J69</f>
        <v>42300.845999999998</v>
      </c>
      <c r="AB69" s="98">
        <f t="shared" ref="AB69:AB106" si="47">+(K69*5%)+K69</f>
        <v>154209.174</v>
      </c>
      <c r="AC69" s="98">
        <f t="shared" ref="AC69:AC106" si="48">+(L69*5%)+L69</f>
        <v>43107.224999999999</v>
      </c>
      <c r="AD69" s="98">
        <f t="shared" ref="AD69:AD106" si="49">+(M69*5%)+M69</f>
        <v>153551.6115</v>
      </c>
      <c r="AE69" s="98">
        <f t="shared" ref="AE69:AE106" si="50">+(N69*5%)+N69</f>
        <v>42159.2955</v>
      </c>
      <c r="AF69" s="98">
        <f t="shared" ref="AF69:AF106" si="51">+(O69*5%)+O69</f>
        <v>151489.17000000001</v>
      </c>
      <c r="AG69" s="98">
        <f t="shared" ref="AG69:AG106" si="52">+(P69*5%)+P69</f>
        <v>38148.568500000001</v>
      </c>
      <c r="AH69" s="98">
        <f t="shared" ref="AH69:AH106" si="53">+(Q69*5%)+Q69</f>
        <v>146255.21399999998</v>
      </c>
      <c r="AI69" s="98">
        <v>38149</v>
      </c>
      <c r="AJ69" s="429">
        <f t="shared" si="43"/>
        <v>1134828.5560000001</v>
      </c>
      <c r="AK69" s="46"/>
    </row>
    <row r="70" spans="1:39" ht="15">
      <c r="A70" s="263"/>
      <c r="B70" s="263"/>
      <c r="C70" s="304">
        <v>7120</v>
      </c>
      <c r="D70" s="325">
        <v>10715</v>
      </c>
      <c r="E70" s="326" t="s">
        <v>21</v>
      </c>
      <c r="F70" s="336"/>
      <c r="G70" s="328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294">
        <f t="shared" si="40"/>
        <v>0</v>
      </c>
      <c r="U70" s="304">
        <v>11250.75</v>
      </c>
      <c r="V70" s="297">
        <f t="shared" si="41"/>
        <v>-11250.75</v>
      </c>
      <c r="X70" s="24">
        <v>7332</v>
      </c>
      <c r="Y70" s="16">
        <v>3383</v>
      </c>
      <c r="Z70" s="98">
        <f t="shared" si="45"/>
        <v>0</v>
      </c>
      <c r="AA70" s="98">
        <f t="shared" si="46"/>
        <v>0</v>
      </c>
      <c r="AB70" s="98">
        <f t="shared" si="47"/>
        <v>0</v>
      </c>
      <c r="AC70" s="98">
        <f t="shared" si="48"/>
        <v>0</v>
      </c>
      <c r="AD70" s="98">
        <f t="shared" si="49"/>
        <v>0</v>
      </c>
      <c r="AE70" s="98">
        <f t="shared" si="50"/>
        <v>0</v>
      </c>
      <c r="AF70" s="98">
        <f t="shared" si="51"/>
        <v>0</v>
      </c>
      <c r="AG70" s="98">
        <f t="shared" si="52"/>
        <v>0</v>
      </c>
      <c r="AH70" s="98">
        <f t="shared" si="53"/>
        <v>0</v>
      </c>
      <c r="AI70" s="98">
        <f>+(R70*5%)+R70</f>
        <v>0</v>
      </c>
      <c r="AJ70" s="429">
        <f t="shared" si="43"/>
        <v>10715</v>
      </c>
      <c r="AK70" s="46">
        <v>0</v>
      </c>
    </row>
    <row r="71" spans="1:39" ht="15">
      <c r="A71" s="263"/>
      <c r="B71" s="263"/>
      <c r="C71" s="304">
        <v>0</v>
      </c>
      <c r="D71" s="325">
        <v>0</v>
      </c>
      <c r="E71" s="326" t="s">
        <v>53</v>
      </c>
      <c r="F71" s="336"/>
      <c r="G71" s="328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294">
        <f t="shared" si="40"/>
        <v>0</v>
      </c>
      <c r="U71" s="304">
        <v>0</v>
      </c>
      <c r="V71" s="297">
        <f t="shared" si="41"/>
        <v>0</v>
      </c>
      <c r="X71" s="98">
        <f t="shared" ref="X71:X82" si="54">+(G71*5%)+G71</f>
        <v>0</v>
      </c>
      <c r="Y71" s="98">
        <f t="shared" ref="Y71:Y82" si="55">+(H71*5%)+H71</f>
        <v>0</v>
      </c>
      <c r="Z71" s="98">
        <f t="shared" si="45"/>
        <v>0</v>
      </c>
      <c r="AA71" s="98">
        <f t="shared" si="46"/>
        <v>0</v>
      </c>
      <c r="AB71" s="98">
        <f t="shared" si="47"/>
        <v>0</v>
      </c>
      <c r="AC71" s="98">
        <f t="shared" si="48"/>
        <v>0</v>
      </c>
      <c r="AD71" s="98">
        <f t="shared" si="49"/>
        <v>0</v>
      </c>
      <c r="AE71" s="98">
        <f t="shared" si="50"/>
        <v>0</v>
      </c>
      <c r="AF71" s="98">
        <f t="shared" si="51"/>
        <v>0</v>
      </c>
      <c r="AG71" s="98">
        <f t="shared" si="52"/>
        <v>0</v>
      </c>
      <c r="AH71" s="98">
        <f t="shared" si="53"/>
        <v>0</v>
      </c>
      <c r="AI71" s="98">
        <f>+(R71*5%)+R71</f>
        <v>0</v>
      </c>
      <c r="AJ71" s="429">
        <f t="shared" si="43"/>
        <v>0</v>
      </c>
      <c r="AK71" s="46">
        <v>0</v>
      </c>
    </row>
    <row r="72" spans="1:39" ht="15">
      <c r="A72" s="263"/>
      <c r="B72" s="263"/>
      <c r="C72" s="304">
        <v>98434.5</v>
      </c>
      <c r="D72" s="325">
        <v>102817.8</v>
      </c>
      <c r="E72" s="326" t="s">
        <v>22</v>
      </c>
      <c r="F72" s="336"/>
      <c r="G72" s="328">
        <v>8753.85</v>
      </c>
      <c r="H72" s="325">
        <v>8285.24</v>
      </c>
      <c r="I72" s="325">
        <v>8554.23</v>
      </c>
      <c r="J72" s="325">
        <v>579.61</v>
      </c>
      <c r="K72" s="325">
        <v>7769.76</v>
      </c>
      <c r="L72" s="325">
        <v>17197.22</v>
      </c>
      <c r="M72" s="325">
        <v>333.89</v>
      </c>
      <c r="N72" s="325">
        <v>8827.6200000000008</v>
      </c>
      <c r="O72" s="325">
        <v>17129.25</v>
      </c>
      <c r="P72" s="325">
        <v>331.44</v>
      </c>
      <c r="Q72" s="325">
        <v>8954.7099999999991</v>
      </c>
      <c r="R72" s="294">
        <v>11792</v>
      </c>
      <c r="S72" s="325"/>
      <c r="T72" s="294">
        <f t="shared" si="40"/>
        <v>98508.82</v>
      </c>
      <c r="U72" s="304">
        <v>90576.98</v>
      </c>
      <c r="V72" s="297">
        <f t="shared" si="41"/>
        <v>7931.8400000000111</v>
      </c>
      <c r="X72" s="98">
        <f t="shared" si="54"/>
        <v>9191.5424999999996</v>
      </c>
      <c r="Y72" s="98">
        <f t="shared" si="55"/>
        <v>8699.5020000000004</v>
      </c>
      <c r="Z72" s="98">
        <f t="shared" si="45"/>
        <v>8981.941499999999</v>
      </c>
      <c r="AA72" s="98">
        <f t="shared" si="46"/>
        <v>608.59050000000002</v>
      </c>
      <c r="AB72" s="98">
        <f t="shared" si="47"/>
        <v>8158.2480000000005</v>
      </c>
      <c r="AC72" s="98">
        <f t="shared" si="48"/>
        <v>18057.081000000002</v>
      </c>
      <c r="AD72" s="98">
        <f t="shared" si="49"/>
        <v>350.58449999999999</v>
      </c>
      <c r="AE72" s="98">
        <f t="shared" si="50"/>
        <v>9269.0010000000002</v>
      </c>
      <c r="AF72" s="98">
        <f t="shared" si="51"/>
        <v>17985.712500000001</v>
      </c>
      <c r="AG72" s="98">
        <f t="shared" si="52"/>
        <v>348.012</v>
      </c>
      <c r="AH72" s="98">
        <f t="shared" si="53"/>
        <v>9402.4454999999998</v>
      </c>
      <c r="AI72" s="98">
        <f>+AK72*5%</f>
        <v>589.59932500000002</v>
      </c>
      <c r="AJ72" s="429">
        <f t="shared" si="43"/>
        <v>91642.26032500001</v>
      </c>
      <c r="AK72" s="46">
        <v>11791.986499999999</v>
      </c>
      <c r="AL72" s="46">
        <f>+AK72*5%</f>
        <v>589.59932500000002</v>
      </c>
      <c r="AM72" s="424">
        <f>+AK72+AL72</f>
        <v>12381.585824999998</v>
      </c>
    </row>
    <row r="73" spans="1:39" ht="15">
      <c r="A73" s="263"/>
      <c r="B73" s="263"/>
      <c r="C73" s="304">
        <v>1105322.0359999998</v>
      </c>
      <c r="D73" s="325">
        <v>1271523.4000000001</v>
      </c>
      <c r="E73" s="326" t="s">
        <v>23</v>
      </c>
      <c r="F73" s="336"/>
      <c r="G73" s="328">
        <v>77768.17</v>
      </c>
      <c r="H73" s="325">
        <v>79746.87</v>
      </c>
      <c r="I73" s="325">
        <v>87097.52</v>
      </c>
      <c r="J73" s="325">
        <v>118178.67</v>
      </c>
      <c r="K73" s="325">
        <v>117789.01</v>
      </c>
      <c r="L73" s="325">
        <v>145592.42000000001</v>
      </c>
      <c r="M73" s="325">
        <v>173052.78</v>
      </c>
      <c r="N73" s="325">
        <v>151589.92000000001</v>
      </c>
      <c r="O73" s="325">
        <v>156972.6</v>
      </c>
      <c r="P73" s="325">
        <v>135908.85</v>
      </c>
      <c r="Q73" s="325">
        <v>111888.94</v>
      </c>
      <c r="R73" s="294">
        <v>120523</v>
      </c>
      <c r="S73" s="325"/>
      <c r="T73" s="294">
        <f t="shared" si="40"/>
        <v>1476108.7500000002</v>
      </c>
      <c r="U73" s="304">
        <v>1241830.22</v>
      </c>
      <c r="V73" s="297">
        <f t="shared" si="41"/>
        <v>234278.53000000026</v>
      </c>
      <c r="X73" s="98">
        <f t="shared" si="54"/>
        <v>81656.578500000003</v>
      </c>
      <c r="Y73" s="98">
        <f t="shared" si="55"/>
        <v>83734.213499999998</v>
      </c>
      <c r="Z73" s="98">
        <f t="shared" si="45"/>
        <v>91452.396000000008</v>
      </c>
      <c r="AA73" s="98">
        <f t="shared" si="46"/>
        <v>124087.6035</v>
      </c>
      <c r="AB73" s="98">
        <f t="shared" si="47"/>
        <v>123678.4605</v>
      </c>
      <c r="AC73" s="98">
        <f t="shared" si="48"/>
        <v>152872.04100000003</v>
      </c>
      <c r="AD73" s="98">
        <f t="shared" si="49"/>
        <v>181705.41899999999</v>
      </c>
      <c r="AE73" s="98">
        <f t="shared" si="50"/>
        <v>159169.41600000003</v>
      </c>
      <c r="AF73" s="98">
        <f t="shared" si="51"/>
        <v>164821.23000000001</v>
      </c>
      <c r="AG73" s="98">
        <f t="shared" si="52"/>
        <v>142704.29250000001</v>
      </c>
      <c r="AH73" s="98">
        <f t="shared" si="53"/>
        <v>117483.387</v>
      </c>
      <c r="AI73" s="98">
        <f>+AM73</f>
        <v>126548.90062499999</v>
      </c>
      <c r="AJ73" s="429">
        <f t="shared" si="43"/>
        <v>1549913.9381250001</v>
      </c>
      <c r="AK73" s="46">
        <v>120522.7625</v>
      </c>
      <c r="AL73" s="46">
        <f t="shared" ref="AL73:AL106" si="56">+AK73*5%</f>
        <v>6026.1381250000004</v>
      </c>
      <c r="AM73" s="424">
        <f t="shared" ref="AM73:AM106" si="57">+AK73+AL73</f>
        <v>126548.90062499999</v>
      </c>
    </row>
    <row r="74" spans="1:39" ht="15">
      <c r="A74" s="263"/>
      <c r="B74" s="263"/>
      <c r="C74" s="304">
        <v>40248.020000000004</v>
      </c>
      <c r="D74" s="325">
        <v>49169.63</v>
      </c>
      <c r="E74" s="326" t="s">
        <v>24</v>
      </c>
      <c r="F74" s="336"/>
      <c r="G74" s="328">
        <v>7414.31</v>
      </c>
      <c r="H74" s="325">
        <v>5587.89</v>
      </c>
      <c r="I74" s="325">
        <v>4861.53</v>
      </c>
      <c r="J74" s="325">
        <v>5523.44</v>
      </c>
      <c r="K74" s="325">
        <v>9426.17</v>
      </c>
      <c r="L74" s="325">
        <v>9528.59</v>
      </c>
      <c r="M74" s="325">
        <v>10503.1</v>
      </c>
      <c r="N74" s="325">
        <v>25395.09</v>
      </c>
      <c r="O74" s="325">
        <v>10575.32</v>
      </c>
      <c r="P74" s="325">
        <v>1100</v>
      </c>
      <c r="Q74" s="325">
        <v>14538.11</v>
      </c>
      <c r="R74" s="294">
        <v>5212</v>
      </c>
      <c r="S74" s="325"/>
      <c r="T74" s="294">
        <f t="shared" si="40"/>
        <v>109665.55</v>
      </c>
      <c r="U74" s="304">
        <v>44006.21</v>
      </c>
      <c r="V74" s="297">
        <f t="shared" si="41"/>
        <v>65659.34</v>
      </c>
      <c r="X74" s="98">
        <f t="shared" si="54"/>
        <v>7785.0255000000006</v>
      </c>
      <c r="Y74" s="98">
        <f t="shared" si="55"/>
        <v>5867.2845000000007</v>
      </c>
      <c r="Z74" s="98">
        <f t="shared" si="45"/>
        <v>5104.6064999999999</v>
      </c>
      <c r="AA74" s="98">
        <f t="shared" si="46"/>
        <v>5799.6119999999992</v>
      </c>
      <c r="AB74" s="98">
        <f t="shared" si="47"/>
        <v>9897.4784999999993</v>
      </c>
      <c r="AC74" s="98">
        <f t="shared" si="48"/>
        <v>10005.0195</v>
      </c>
      <c r="AD74" s="98">
        <f t="shared" si="49"/>
        <v>11028.255000000001</v>
      </c>
      <c r="AE74" s="98">
        <f t="shared" si="50"/>
        <v>26664.844499999999</v>
      </c>
      <c r="AF74" s="98">
        <f t="shared" si="51"/>
        <v>11104.085999999999</v>
      </c>
      <c r="AG74" s="98">
        <f t="shared" si="52"/>
        <v>1155</v>
      </c>
      <c r="AH74" s="98">
        <f t="shared" si="53"/>
        <v>15265.015500000001</v>
      </c>
      <c r="AI74" s="98">
        <f t="shared" ref="AI74:AI106" si="58">+AM74</f>
        <v>5472.3175499999998</v>
      </c>
      <c r="AJ74" s="429">
        <f t="shared" si="43"/>
        <v>115148.54504999999</v>
      </c>
      <c r="AK74" s="46">
        <v>5211.7309999999998</v>
      </c>
      <c r="AL74" s="46">
        <f t="shared" si="56"/>
        <v>260.58654999999999</v>
      </c>
      <c r="AM74" s="424">
        <f t="shared" si="57"/>
        <v>5472.3175499999998</v>
      </c>
    </row>
    <row r="75" spans="1:39" ht="15">
      <c r="A75" s="263"/>
      <c r="B75" s="263"/>
      <c r="C75" s="304">
        <v>24440.65</v>
      </c>
      <c r="D75" s="325">
        <v>38244.160000000003</v>
      </c>
      <c r="E75" s="326" t="s">
        <v>25</v>
      </c>
      <c r="F75" s="336"/>
      <c r="G75" s="328">
        <v>1834.45</v>
      </c>
      <c r="H75" s="325">
        <v>4621.92</v>
      </c>
      <c r="I75" s="325">
        <v>1753.606</v>
      </c>
      <c r="J75" s="325"/>
      <c r="K75" s="325">
        <v>4350.5200000000004</v>
      </c>
      <c r="L75" s="325">
        <v>4992.87</v>
      </c>
      <c r="M75" s="325">
        <v>4492.33</v>
      </c>
      <c r="N75" s="325">
        <v>2793.49</v>
      </c>
      <c r="O75" s="325">
        <v>3564.27</v>
      </c>
      <c r="P75" s="325">
        <v>5000.62</v>
      </c>
      <c r="Q75" s="325">
        <v>5133.59</v>
      </c>
      <c r="R75" s="294">
        <v>3897</v>
      </c>
      <c r="S75" s="325"/>
      <c r="T75" s="294">
        <f t="shared" si="40"/>
        <v>42434.665999999997</v>
      </c>
      <c r="U75" s="304">
        <v>34213.339999999997</v>
      </c>
      <c r="V75" s="297">
        <f t="shared" si="41"/>
        <v>8221.3260000000009</v>
      </c>
      <c r="X75" s="98">
        <f t="shared" si="54"/>
        <v>1926.1725000000001</v>
      </c>
      <c r="Y75" s="98">
        <f t="shared" si="55"/>
        <v>4853.0159999999996</v>
      </c>
      <c r="Z75" s="98">
        <f t="shared" si="45"/>
        <v>1841.2863</v>
      </c>
      <c r="AA75" s="98">
        <f t="shared" si="46"/>
        <v>0</v>
      </c>
      <c r="AB75" s="98">
        <f t="shared" si="47"/>
        <v>4568.0460000000003</v>
      </c>
      <c r="AC75" s="98">
        <f t="shared" si="48"/>
        <v>5242.5135</v>
      </c>
      <c r="AD75" s="98">
        <f t="shared" si="49"/>
        <v>4716.9465</v>
      </c>
      <c r="AE75" s="98">
        <f t="shared" si="50"/>
        <v>2933.1644999999999</v>
      </c>
      <c r="AF75" s="98">
        <f t="shared" si="51"/>
        <v>3742.4834999999998</v>
      </c>
      <c r="AG75" s="98">
        <f t="shared" si="52"/>
        <v>5250.6509999999998</v>
      </c>
      <c r="AH75" s="98">
        <f t="shared" si="53"/>
        <v>5390.2695000000003</v>
      </c>
      <c r="AI75" s="98">
        <f t="shared" si="58"/>
        <v>4091.4215999999997</v>
      </c>
      <c r="AJ75" s="429">
        <f t="shared" si="43"/>
        <v>44555.9709</v>
      </c>
      <c r="AK75" s="46">
        <v>3896.5919999999996</v>
      </c>
      <c r="AL75" s="46">
        <f t="shared" si="56"/>
        <v>194.8296</v>
      </c>
      <c r="AM75" s="424">
        <f t="shared" si="57"/>
        <v>4091.4215999999997</v>
      </c>
    </row>
    <row r="76" spans="1:39" ht="15">
      <c r="A76" s="263"/>
      <c r="B76" s="263"/>
      <c r="C76" s="304">
        <v>0</v>
      </c>
      <c r="D76" s="325">
        <v>4545.82</v>
      </c>
      <c r="E76" s="326" t="s">
        <v>26</v>
      </c>
      <c r="F76" s="336"/>
      <c r="G76" s="328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294"/>
      <c r="S76" s="325"/>
      <c r="T76" s="294">
        <f t="shared" si="40"/>
        <v>0</v>
      </c>
      <c r="U76" s="304">
        <v>4773.1099999999997</v>
      </c>
      <c r="V76" s="297">
        <f t="shared" si="41"/>
        <v>-4773.1099999999997</v>
      </c>
      <c r="X76" s="98">
        <f t="shared" si="54"/>
        <v>0</v>
      </c>
      <c r="Y76" s="98">
        <f t="shared" si="55"/>
        <v>0</v>
      </c>
      <c r="Z76" s="98">
        <f t="shared" si="45"/>
        <v>0</v>
      </c>
      <c r="AA76" s="98">
        <f t="shared" si="46"/>
        <v>0</v>
      </c>
      <c r="AB76" s="98">
        <f t="shared" si="47"/>
        <v>0</v>
      </c>
      <c r="AC76" s="98">
        <f t="shared" si="48"/>
        <v>0</v>
      </c>
      <c r="AD76" s="98">
        <f t="shared" si="49"/>
        <v>0</v>
      </c>
      <c r="AE76" s="98">
        <f t="shared" si="50"/>
        <v>0</v>
      </c>
      <c r="AF76" s="98">
        <f t="shared" si="51"/>
        <v>0</v>
      </c>
      <c r="AG76" s="98">
        <f t="shared" si="52"/>
        <v>0</v>
      </c>
      <c r="AH76" s="98">
        <f t="shared" si="53"/>
        <v>0</v>
      </c>
      <c r="AI76" s="98">
        <f t="shared" si="58"/>
        <v>0</v>
      </c>
      <c r="AJ76" s="429">
        <f t="shared" si="43"/>
        <v>0</v>
      </c>
      <c r="AK76" s="46">
        <v>0</v>
      </c>
      <c r="AL76" s="46">
        <f t="shared" si="56"/>
        <v>0</v>
      </c>
      <c r="AM76" s="424">
        <f t="shared" si="57"/>
        <v>0</v>
      </c>
    </row>
    <row r="77" spans="1:39" ht="15">
      <c r="A77" s="263"/>
      <c r="B77" s="263"/>
      <c r="C77" s="304">
        <v>32085.920000000002</v>
      </c>
      <c r="D77" s="325">
        <v>5323.5</v>
      </c>
      <c r="E77" s="326" t="s">
        <v>27</v>
      </c>
      <c r="F77" s="336"/>
      <c r="G77" s="328">
        <v>4584.22</v>
      </c>
      <c r="H77" s="325"/>
      <c r="I77" s="325"/>
      <c r="J77" s="325">
        <v>2154.9699999999998</v>
      </c>
      <c r="K77" s="325"/>
      <c r="L77" s="325">
        <v>5854.49</v>
      </c>
      <c r="M77" s="325">
        <v>297.56</v>
      </c>
      <c r="N77" s="325"/>
      <c r="O77" s="325"/>
      <c r="P77" s="325"/>
      <c r="Q77" s="325"/>
      <c r="R77" s="294">
        <v>1522</v>
      </c>
      <c r="S77" s="325"/>
      <c r="T77" s="294">
        <f t="shared" si="40"/>
        <v>14413.24</v>
      </c>
      <c r="U77" s="304">
        <v>4991.0600000000004</v>
      </c>
      <c r="V77" s="297">
        <f t="shared" si="41"/>
        <v>9422.18</v>
      </c>
      <c r="X77" s="98">
        <f t="shared" si="54"/>
        <v>4813.4310000000005</v>
      </c>
      <c r="Y77" s="98">
        <f t="shared" si="55"/>
        <v>0</v>
      </c>
      <c r="Z77" s="98">
        <f t="shared" si="45"/>
        <v>0</v>
      </c>
      <c r="AA77" s="98">
        <f t="shared" si="46"/>
        <v>2262.7184999999999</v>
      </c>
      <c r="AB77" s="98">
        <f t="shared" si="47"/>
        <v>0</v>
      </c>
      <c r="AC77" s="98">
        <f t="shared" si="48"/>
        <v>6147.2145</v>
      </c>
      <c r="AD77" s="98">
        <f t="shared" si="49"/>
        <v>312.43799999999999</v>
      </c>
      <c r="AE77" s="98">
        <f t="shared" si="50"/>
        <v>0</v>
      </c>
      <c r="AF77" s="98">
        <f t="shared" si="51"/>
        <v>0</v>
      </c>
      <c r="AG77" s="98">
        <f t="shared" si="52"/>
        <v>0</v>
      </c>
      <c r="AH77" s="98">
        <f t="shared" si="53"/>
        <v>0</v>
      </c>
      <c r="AI77" s="98">
        <f t="shared" si="58"/>
        <v>1598.062725</v>
      </c>
      <c r="AJ77" s="429">
        <f t="shared" si="43"/>
        <v>15133.864725000001</v>
      </c>
      <c r="AK77" s="46">
        <v>1521.9645</v>
      </c>
      <c r="AL77" s="46">
        <f t="shared" si="56"/>
        <v>76.098224999999999</v>
      </c>
      <c r="AM77" s="424">
        <f t="shared" si="57"/>
        <v>1598.062725</v>
      </c>
    </row>
    <row r="78" spans="1:39" ht="15">
      <c r="A78" s="263"/>
      <c r="B78" s="263"/>
      <c r="C78" s="304">
        <v>88440.65</v>
      </c>
      <c r="D78" s="325">
        <v>69158.22</v>
      </c>
      <c r="E78" s="326" t="s">
        <v>28</v>
      </c>
      <c r="F78" s="336"/>
      <c r="G78" s="328">
        <v>1605.4</v>
      </c>
      <c r="H78" s="325">
        <v>3914.8</v>
      </c>
      <c r="I78" s="325">
        <v>8010.57</v>
      </c>
      <c r="J78" s="325">
        <v>7838.69</v>
      </c>
      <c r="K78" s="325">
        <v>899.39</v>
      </c>
      <c r="L78" s="325">
        <v>716.1</v>
      </c>
      <c r="M78" s="325">
        <v>791.04</v>
      </c>
      <c r="N78" s="325">
        <v>1668.81</v>
      </c>
      <c r="O78" s="325">
        <v>5155.99</v>
      </c>
      <c r="P78" s="325">
        <v>931.2</v>
      </c>
      <c r="Q78" s="325">
        <v>733</v>
      </c>
      <c r="R78" s="294">
        <v>14000</v>
      </c>
      <c r="S78" s="325"/>
      <c r="T78" s="294">
        <f t="shared" si="40"/>
        <v>46264.990000000005</v>
      </c>
      <c r="U78" s="304">
        <v>33280.19</v>
      </c>
      <c r="V78" s="297">
        <f t="shared" si="41"/>
        <v>12984.800000000003</v>
      </c>
      <c r="X78" s="98">
        <f t="shared" si="54"/>
        <v>1685.67</v>
      </c>
      <c r="Y78" s="98">
        <f t="shared" si="55"/>
        <v>4110.54</v>
      </c>
      <c r="Z78" s="98">
        <f t="shared" si="45"/>
        <v>8411.0985000000001</v>
      </c>
      <c r="AA78" s="98">
        <f t="shared" si="46"/>
        <v>8230.6244999999999</v>
      </c>
      <c r="AB78" s="98">
        <f t="shared" si="47"/>
        <v>944.35950000000003</v>
      </c>
      <c r="AC78" s="98">
        <f t="shared" si="48"/>
        <v>751.90499999999997</v>
      </c>
      <c r="AD78" s="98">
        <f t="shared" si="49"/>
        <v>830.59199999999998</v>
      </c>
      <c r="AE78" s="98">
        <f t="shared" si="50"/>
        <v>1752.2504999999999</v>
      </c>
      <c r="AF78" s="98">
        <f t="shared" si="51"/>
        <v>5413.7894999999999</v>
      </c>
      <c r="AG78" s="98">
        <f t="shared" si="52"/>
        <v>977.76</v>
      </c>
      <c r="AH78" s="98">
        <f t="shared" si="53"/>
        <v>769.65</v>
      </c>
      <c r="AI78" s="98">
        <f t="shared" si="58"/>
        <v>14700</v>
      </c>
      <c r="AJ78" s="429">
        <f t="shared" si="43"/>
        <v>48578.239499999996</v>
      </c>
      <c r="AK78" s="46">
        <v>14000</v>
      </c>
      <c r="AL78" s="46">
        <f t="shared" si="56"/>
        <v>700</v>
      </c>
      <c r="AM78" s="424">
        <f t="shared" si="57"/>
        <v>14700</v>
      </c>
    </row>
    <row r="79" spans="1:39" ht="15">
      <c r="A79" s="263"/>
      <c r="B79" s="263"/>
      <c r="C79" s="304">
        <v>25099</v>
      </c>
      <c r="D79" s="325">
        <v>22372.400000000001</v>
      </c>
      <c r="E79" s="326" t="s">
        <v>29</v>
      </c>
      <c r="F79" s="336"/>
      <c r="G79" s="328">
        <v>750</v>
      </c>
      <c r="H79" s="325">
        <v>750</v>
      </c>
      <c r="I79" s="325">
        <v>2200</v>
      </c>
      <c r="J79" s="325">
        <v>750</v>
      </c>
      <c r="K79" s="325">
        <v>7440</v>
      </c>
      <c r="L79" s="325">
        <v>1500</v>
      </c>
      <c r="M79" s="325">
        <v>8190</v>
      </c>
      <c r="N79" s="325">
        <v>750</v>
      </c>
      <c r="O79" s="325">
        <v>1640</v>
      </c>
      <c r="P79" s="325">
        <v>2470</v>
      </c>
      <c r="Q79" s="325">
        <v>820</v>
      </c>
      <c r="R79" s="294">
        <v>1365</v>
      </c>
      <c r="S79" s="325"/>
      <c r="T79" s="294">
        <f t="shared" si="40"/>
        <v>28625</v>
      </c>
      <c r="U79" s="304">
        <v>21549.57</v>
      </c>
      <c r="V79" s="297">
        <f t="shared" si="41"/>
        <v>7075.43</v>
      </c>
      <c r="X79" s="98">
        <f t="shared" si="54"/>
        <v>787.5</v>
      </c>
      <c r="Y79" s="98">
        <f t="shared" si="55"/>
        <v>787.5</v>
      </c>
      <c r="Z79" s="98">
        <f t="shared" si="45"/>
        <v>2310</v>
      </c>
      <c r="AA79" s="98">
        <f t="shared" si="46"/>
        <v>787.5</v>
      </c>
      <c r="AB79" s="98">
        <f t="shared" si="47"/>
        <v>7812</v>
      </c>
      <c r="AC79" s="98">
        <f t="shared" si="48"/>
        <v>1575</v>
      </c>
      <c r="AD79" s="98">
        <f t="shared" si="49"/>
        <v>8599.5</v>
      </c>
      <c r="AE79" s="98">
        <f t="shared" si="50"/>
        <v>787.5</v>
      </c>
      <c r="AF79" s="98">
        <f t="shared" si="51"/>
        <v>1722</v>
      </c>
      <c r="AG79" s="98">
        <f t="shared" si="52"/>
        <v>2593.5</v>
      </c>
      <c r="AH79" s="98">
        <f t="shared" si="53"/>
        <v>861</v>
      </c>
      <c r="AI79" s="98">
        <f t="shared" si="58"/>
        <v>1433.25</v>
      </c>
      <c r="AJ79" s="429">
        <f t="shared" si="43"/>
        <v>30056.25</v>
      </c>
      <c r="AK79" s="46">
        <v>1365</v>
      </c>
      <c r="AL79" s="46">
        <f t="shared" si="56"/>
        <v>68.25</v>
      </c>
      <c r="AM79" s="424">
        <f t="shared" si="57"/>
        <v>1433.25</v>
      </c>
    </row>
    <row r="80" spans="1:39" ht="15">
      <c r="A80" s="263"/>
      <c r="B80" s="263"/>
      <c r="C80" s="304">
        <v>1224.75</v>
      </c>
      <c r="D80" s="325">
        <v>450</v>
      </c>
      <c r="E80" s="326" t="s">
        <v>13</v>
      </c>
      <c r="F80" s="336"/>
      <c r="G80" s="328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294">
        <v>16</v>
      </c>
      <c r="S80" s="325"/>
      <c r="T80" s="294">
        <f t="shared" si="40"/>
        <v>16</v>
      </c>
      <c r="U80" s="304">
        <v>16.100000000000001</v>
      </c>
      <c r="V80" s="297">
        <f t="shared" si="41"/>
        <v>-0.10000000000000142</v>
      </c>
      <c r="X80" s="98">
        <f t="shared" si="54"/>
        <v>0</v>
      </c>
      <c r="Y80" s="98">
        <f t="shared" si="55"/>
        <v>0</v>
      </c>
      <c r="Z80" s="98">
        <f t="shared" si="45"/>
        <v>0</v>
      </c>
      <c r="AA80" s="98">
        <f t="shared" si="46"/>
        <v>0</v>
      </c>
      <c r="AB80" s="98">
        <f t="shared" si="47"/>
        <v>0</v>
      </c>
      <c r="AC80" s="98">
        <f t="shared" si="48"/>
        <v>0</v>
      </c>
      <c r="AD80" s="98">
        <f t="shared" si="49"/>
        <v>0</v>
      </c>
      <c r="AE80" s="98">
        <f t="shared" si="50"/>
        <v>0</v>
      </c>
      <c r="AF80" s="98">
        <f t="shared" si="51"/>
        <v>0</v>
      </c>
      <c r="AG80" s="98">
        <f t="shared" si="52"/>
        <v>0</v>
      </c>
      <c r="AH80" s="98">
        <f t="shared" si="53"/>
        <v>0</v>
      </c>
      <c r="AI80" s="98">
        <f t="shared" si="58"/>
        <v>16.905000000000001</v>
      </c>
      <c r="AJ80" s="429">
        <f t="shared" si="43"/>
        <v>16.905000000000001</v>
      </c>
      <c r="AK80" s="46">
        <v>16.100000000000001</v>
      </c>
      <c r="AL80" s="46">
        <f t="shared" si="56"/>
        <v>0.80500000000000016</v>
      </c>
      <c r="AM80" s="424">
        <f t="shared" si="57"/>
        <v>16.905000000000001</v>
      </c>
    </row>
    <row r="81" spans="1:39" ht="15">
      <c r="A81" s="263"/>
      <c r="B81" s="263"/>
      <c r="C81" s="304">
        <v>67894.76999999999</v>
      </c>
      <c r="D81" s="325">
        <v>61678.380000000005</v>
      </c>
      <c r="E81" s="326" t="s">
        <v>30</v>
      </c>
      <c r="F81" s="336"/>
      <c r="G81" s="328">
        <v>5034.97</v>
      </c>
      <c r="H81" s="325">
        <v>5034.97</v>
      </c>
      <c r="I81" s="325">
        <v>5034.97</v>
      </c>
      <c r="J81" s="325"/>
      <c r="K81" s="325">
        <v>10069.94</v>
      </c>
      <c r="L81" s="325">
        <v>5034.97</v>
      </c>
      <c r="M81" s="325">
        <v>5034.97</v>
      </c>
      <c r="N81" s="325">
        <v>5034.97</v>
      </c>
      <c r="O81" s="325">
        <v>5034.97</v>
      </c>
      <c r="P81" s="325">
        <v>5034.97</v>
      </c>
      <c r="Q81" s="325">
        <v>5034.97</v>
      </c>
      <c r="R81" s="294">
        <v>5287</v>
      </c>
      <c r="S81" s="325"/>
      <c r="T81" s="294">
        <f t="shared" si="40"/>
        <v>60671.670000000006</v>
      </c>
      <c r="U81" s="304">
        <v>58157</v>
      </c>
      <c r="V81" s="297">
        <f t="shared" si="41"/>
        <v>2514.6700000000055</v>
      </c>
      <c r="X81" s="98">
        <f t="shared" si="54"/>
        <v>5286.7184999999999</v>
      </c>
      <c r="Y81" s="98">
        <f t="shared" si="55"/>
        <v>5286.7184999999999</v>
      </c>
      <c r="Z81" s="98">
        <f t="shared" si="45"/>
        <v>5286.7184999999999</v>
      </c>
      <c r="AA81" s="98">
        <f t="shared" si="46"/>
        <v>0</v>
      </c>
      <c r="AB81" s="98">
        <f t="shared" si="47"/>
        <v>10573.437</v>
      </c>
      <c r="AC81" s="98">
        <f t="shared" si="48"/>
        <v>5286.7184999999999</v>
      </c>
      <c r="AD81" s="98">
        <f t="shared" si="49"/>
        <v>5286.7184999999999</v>
      </c>
      <c r="AE81" s="98">
        <f t="shared" si="50"/>
        <v>5286.7184999999999</v>
      </c>
      <c r="AF81" s="98">
        <f t="shared" si="51"/>
        <v>5286.7184999999999</v>
      </c>
      <c r="AG81" s="98">
        <f t="shared" si="52"/>
        <v>5286.7184999999999</v>
      </c>
      <c r="AH81" s="98">
        <f t="shared" si="53"/>
        <v>5286.7184999999999</v>
      </c>
      <c r="AI81" s="98">
        <f t="shared" si="58"/>
        <v>5551.35</v>
      </c>
      <c r="AJ81" s="429">
        <f t="shared" si="43"/>
        <v>63705.253500000006</v>
      </c>
      <c r="AK81" s="46">
        <v>5287</v>
      </c>
      <c r="AL81" s="46">
        <f t="shared" si="56"/>
        <v>264.35000000000002</v>
      </c>
      <c r="AM81" s="424">
        <f t="shared" si="57"/>
        <v>5551.35</v>
      </c>
    </row>
    <row r="82" spans="1:39" ht="15">
      <c r="A82" s="263"/>
      <c r="B82" s="263"/>
      <c r="C82" s="304">
        <v>17578.939999999999</v>
      </c>
      <c r="D82" s="325">
        <v>93879.91</v>
      </c>
      <c r="E82" s="326" t="s">
        <v>59</v>
      </c>
      <c r="F82" s="336"/>
      <c r="G82" s="328"/>
      <c r="H82" s="325"/>
      <c r="I82" s="325"/>
      <c r="J82" s="325"/>
      <c r="K82" s="325"/>
      <c r="L82" s="325"/>
      <c r="M82" s="325"/>
      <c r="N82" s="325"/>
      <c r="O82" s="325"/>
      <c r="P82" s="325"/>
      <c r="Q82" s="325"/>
      <c r="R82" s="294"/>
      <c r="S82" s="325"/>
      <c r="T82" s="294">
        <f t="shared" si="40"/>
        <v>0</v>
      </c>
      <c r="U82" s="304">
        <v>0</v>
      </c>
      <c r="V82" s="297">
        <f t="shared" si="41"/>
        <v>0</v>
      </c>
      <c r="X82" s="98">
        <f t="shared" si="54"/>
        <v>0</v>
      </c>
      <c r="Y82" s="98">
        <f t="shared" si="55"/>
        <v>0</v>
      </c>
      <c r="Z82" s="98">
        <f t="shared" si="45"/>
        <v>0</v>
      </c>
      <c r="AA82" s="98">
        <f t="shared" si="46"/>
        <v>0</v>
      </c>
      <c r="AB82" s="98">
        <f t="shared" si="47"/>
        <v>0</v>
      </c>
      <c r="AC82" s="98">
        <f t="shared" si="48"/>
        <v>0</v>
      </c>
      <c r="AD82" s="98">
        <f t="shared" si="49"/>
        <v>0</v>
      </c>
      <c r="AE82" s="98">
        <f t="shared" si="50"/>
        <v>0</v>
      </c>
      <c r="AF82" s="98">
        <f t="shared" si="51"/>
        <v>0</v>
      </c>
      <c r="AG82" s="98">
        <f t="shared" si="52"/>
        <v>0</v>
      </c>
      <c r="AH82" s="98">
        <f t="shared" si="53"/>
        <v>0</v>
      </c>
      <c r="AI82" s="98">
        <f t="shared" si="58"/>
        <v>0</v>
      </c>
      <c r="AJ82" s="429">
        <f t="shared" si="43"/>
        <v>0</v>
      </c>
      <c r="AK82" s="46">
        <v>0</v>
      </c>
      <c r="AL82" s="46">
        <f t="shared" si="56"/>
        <v>0</v>
      </c>
      <c r="AM82" s="424">
        <f t="shared" si="57"/>
        <v>0</v>
      </c>
    </row>
    <row r="83" spans="1:39" ht="15">
      <c r="A83" s="263"/>
      <c r="B83" s="263"/>
      <c r="C83" s="304">
        <v>486905.48</v>
      </c>
      <c r="D83" s="325">
        <v>883448.11</v>
      </c>
      <c r="E83" s="326" t="s">
        <v>31</v>
      </c>
      <c r="F83" s="336"/>
      <c r="G83" s="328">
        <v>60453.03</v>
      </c>
      <c r="H83" s="325">
        <v>76226.789999999994</v>
      </c>
      <c r="I83" s="325">
        <v>94762.66</v>
      </c>
      <c r="J83" s="325">
        <v>43774.38</v>
      </c>
      <c r="K83" s="325">
        <v>30836.58</v>
      </c>
      <c r="L83" s="325">
        <v>126033.62</v>
      </c>
      <c r="M83" s="325">
        <v>79925.14</v>
      </c>
      <c r="N83" s="325">
        <v>57319.37</v>
      </c>
      <c r="O83" s="325">
        <v>130420.45</v>
      </c>
      <c r="P83" s="325">
        <v>54644.67</v>
      </c>
      <c r="Q83" s="325">
        <v>68103</v>
      </c>
      <c r="R83" s="294">
        <v>57113</v>
      </c>
      <c r="S83" s="325"/>
      <c r="T83" s="294">
        <f t="shared" si="40"/>
        <v>879612.69000000006</v>
      </c>
      <c r="U83" s="304">
        <v>868670.34</v>
      </c>
      <c r="V83" s="297">
        <f t="shared" si="41"/>
        <v>10942.350000000093</v>
      </c>
      <c r="X83" s="98">
        <f>(967631.65+237342)/12</f>
        <v>100414.47083333333</v>
      </c>
      <c r="Y83" s="98">
        <f t="shared" ref="Y83:AI83" si="59">(967631.65+237342)/12</f>
        <v>100414.47083333333</v>
      </c>
      <c r="Z83" s="98">
        <f t="shared" si="59"/>
        <v>100414.47083333333</v>
      </c>
      <c r="AA83" s="98">
        <f t="shared" si="59"/>
        <v>100414.47083333333</v>
      </c>
      <c r="AB83" s="98">
        <f t="shared" si="59"/>
        <v>100414.47083333333</v>
      </c>
      <c r="AC83" s="98">
        <f t="shared" si="59"/>
        <v>100414.47083333333</v>
      </c>
      <c r="AD83" s="98">
        <f t="shared" si="59"/>
        <v>100414.47083333333</v>
      </c>
      <c r="AE83" s="98">
        <f t="shared" si="59"/>
        <v>100414.47083333333</v>
      </c>
      <c r="AF83" s="98">
        <f t="shared" si="59"/>
        <v>100414.47083333333</v>
      </c>
      <c r="AG83" s="98">
        <f t="shared" si="59"/>
        <v>100414.47083333333</v>
      </c>
      <c r="AH83" s="98">
        <f t="shared" si="59"/>
        <v>100414.47083333333</v>
      </c>
      <c r="AI83" s="98">
        <f t="shared" si="59"/>
        <v>100414.47083333333</v>
      </c>
      <c r="AJ83" s="429">
        <f t="shared" si="43"/>
        <v>1204973.6499999999</v>
      </c>
      <c r="AK83" s="46">
        <v>57113.262500000004</v>
      </c>
      <c r="AL83" s="46">
        <f t="shared" si="56"/>
        <v>2855.6631250000005</v>
      </c>
      <c r="AM83" s="424">
        <f t="shared" si="57"/>
        <v>59968.925625000003</v>
      </c>
    </row>
    <row r="84" spans="1:39" ht="15">
      <c r="A84" s="263"/>
      <c r="B84" s="263"/>
      <c r="C84" s="304">
        <v>41577.910000000003</v>
      </c>
      <c r="D84" s="325">
        <v>49113.17</v>
      </c>
      <c r="E84" s="326" t="s">
        <v>32</v>
      </c>
      <c r="F84" s="336"/>
      <c r="G84" s="328">
        <v>2089.27</v>
      </c>
      <c r="H84" s="325">
        <v>2958</v>
      </c>
      <c r="I84" s="325">
        <v>1547.52</v>
      </c>
      <c r="J84" s="325">
        <v>1259.27</v>
      </c>
      <c r="K84" s="325">
        <v>5285.22</v>
      </c>
      <c r="L84" s="325">
        <v>2735.57</v>
      </c>
      <c r="M84" s="325">
        <v>4340.3599999999997</v>
      </c>
      <c r="N84" s="325">
        <v>4908.16</v>
      </c>
      <c r="O84" s="325">
        <v>1398.96</v>
      </c>
      <c r="P84" s="325">
        <v>4803.3999999999996</v>
      </c>
      <c r="Q84" s="325">
        <v>2256.79</v>
      </c>
      <c r="R84" s="294">
        <v>7521</v>
      </c>
      <c r="S84" s="325"/>
      <c r="T84" s="294">
        <f t="shared" si="40"/>
        <v>41103.520000000004</v>
      </c>
      <c r="U84" s="304">
        <v>49873.68</v>
      </c>
      <c r="V84" s="297">
        <f t="shared" si="41"/>
        <v>-8770.1599999999962</v>
      </c>
      <c r="X84" s="98">
        <f t="shared" ref="X84:X100" si="60">+(G84*5%)+G84</f>
        <v>2193.7334999999998</v>
      </c>
      <c r="Y84" s="98">
        <f t="shared" ref="Y84:Y100" si="61">+(H84*5%)+H84</f>
        <v>3105.9</v>
      </c>
      <c r="Z84" s="98">
        <f t="shared" si="45"/>
        <v>1624.896</v>
      </c>
      <c r="AA84" s="98">
        <f t="shared" si="46"/>
        <v>1322.2335</v>
      </c>
      <c r="AB84" s="98">
        <f t="shared" si="47"/>
        <v>5549.4810000000007</v>
      </c>
      <c r="AC84" s="98">
        <f t="shared" si="48"/>
        <v>2872.3485000000001</v>
      </c>
      <c r="AD84" s="98">
        <f t="shared" si="49"/>
        <v>4557.3779999999997</v>
      </c>
      <c r="AE84" s="98">
        <f t="shared" si="50"/>
        <v>5153.5680000000002</v>
      </c>
      <c r="AF84" s="98">
        <f t="shared" si="51"/>
        <v>1468.9080000000001</v>
      </c>
      <c r="AG84" s="98">
        <f t="shared" si="52"/>
        <v>5043.57</v>
      </c>
      <c r="AH84" s="98">
        <f t="shared" si="53"/>
        <v>2369.6295</v>
      </c>
      <c r="AI84" s="98">
        <f t="shared" si="58"/>
        <v>7896.612149999999</v>
      </c>
      <c r="AJ84" s="429">
        <f t="shared" si="43"/>
        <v>43158.258150000001</v>
      </c>
      <c r="AK84" s="46">
        <v>7520.5829999999987</v>
      </c>
      <c r="AL84" s="46">
        <f t="shared" si="56"/>
        <v>376.02914999999996</v>
      </c>
      <c r="AM84" s="424">
        <f t="shared" si="57"/>
        <v>7896.612149999999</v>
      </c>
    </row>
    <row r="85" spans="1:39" ht="15">
      <c r="A85" s="263"/>
      <c r="B85" s="263"/>
      <c r="C85" s="304">
        <v>765940.33</v>
      </c>
      <c r="D85" s="325">
        <v>851532.44</v>
      </c>
      <c r="E85" s="326" t="s">
        <v>33</v>
      </c>
      <c r="F85" s="336"/>
      <c r="G85" s="328"/>
      <c r="H85" s="325"/>
      <c r="I85" s="325">
        <v>20449.04</v>
      </c>
      <c r="J85" s="325">
        <v>42812.31</v>
      </c>
      <c r="K85" s="325"/>
      <c r="L85" s="325">
        <v>238783.05</v>
      </c>
      <c r="M85" s="325"/>
      <c r="N85" s="325"/>
      <c r="O85" s="325"/>
      <c r="P85" s="325">
        <v>281210.89</v>
      </c>
      <c r="Q85" s="325">
        <v>222851.91</v>
      </c>
      <c r="R85" s="294">
        <v>154478</v>
      </c>
      <c r="S85" s="325"/>
      <c r="T85" s="294">
        <f t="shared" si="40"/>
        <v>960585.20000000007</v>
      </c>
      <c r="U85" s="304">
        <v>894109.06</v>
      </c>
      <c r="V85" s="297">
        <f t="shared" si="41"/>
        <v>66476.140000000014</v>
      </c>
      <c r="X85" s="98">
        <f t="shared" si="60"/>
        <v>0</v>
      </c>
      <c r="Y85" s="98">
        <f t="shared" si="61"/>
        <v>0</v>
      </c>
      <c r="Z85" s="98">
        <f t="shared" si="45"/>
        <v>21471.492000000002</v>
      </c>
      <c r="AA85" s="98">
        <f t="shared" si="46"/>
        <v>44952.925499999998</v>
      </c>
      <c r="AB85" s="98">
        <f t="shared" si="47"/>
        <v>0</v>
      </c>
      <c r="AC85" s="98">
        <f t="shared" si="48"/>
        <v>250722.20249999998</v>
      </c>
      <c r="AD85" s="98">
        <f t="shared" si="49"/>
        <v>0</v>
      </c>
      <c r="AE85" s="98">
        <f t="shared" si="50"/>
        <v>0</v>
      </c>
      <c r="AF85" s="98">
        <f t="shared" si="51"/>
        <v>0</v>
      </c>
      <c r="AG85" s="98">
        <f t="shared" si="52"/>
        <v>295271.43450000003</v>
      </c>
      <c r="AH85" s="98">
        <f t="shared" si="53"/>
        <v>233994.5055</v>
      </c>
      <c r="AI85" s="98">
        <f t="shared" si="58"/>
        <v>162202.41292500001</v>
      </c>
      <c r="AJ85" s="429">
        <f t="shared" si="43"/>
        <v>1008614.9729250001</v>
      </c>
      <c r="AK85" s="46">
        <v>154478.48850000001</v>
      </c>
      <c r="AL85" s="46">
        <f t="shared" si="56"/>
        <v>7723.9244250000011</v>
      </c>
      <c r="AM85" s="424">
        <f t="shared" si="57"/>
        <v>162202.41292500001</v>
      </c>
    </row>
    <row r="86" spans="1:39" ht="15">
      <c r="A86" s="263"/>
      <c r="B86" s="263"/>
      <c r="C86" s="304">
        <v>58396.2</v>
      </c>
      <c r="D86" s="325">
        <v>87530.6</v>
      </c>
      <c r="E86" s="326" t="s">
        <v>34</v>
      </c>
      <c r="F86" s="336"/>
      <c r="G86" s="328"/>
      <c r="H86" s="325">
        <v>7745</v>
      </c>
      <c r="I86" s="325">
        <v>13279</v>
      </c>
      <c r="J86" s="325">
        <v>192.75</v>
      </c>
      <c r="K86" s="325"/>
      <c r="L86" s="325">
        <v>27095</v>
      </c>
      <c r="M86" s="325"/>
      <c r="N86" s="325"/>
      <c r="O86" s="325">
        <v>10994</v>
      </c>
      <c r="P86" s="325">
        <v>1300</v>
      </c>
      <c r="Q86" s="325">
        <v>10889.5</v>
      </c>
      <c r="R86" s="294">
        <v>7438</v>
      </c>
      <c r="S86" s="325"/>
      <c r="T86" s="294">
        <f t="shared" si="40"/>
        <v>78933.25</v>
      </c>
      <c r="U86" s="304">
        <v>76525.679999999993</v>
      </c>
      <c r="V86" s="297">
        <f t="shared" si="41"/>
        <v>2407.570000000007</v>
      </c>
      <c r="X86" s="98">
        <f t="shared" si="60"/>
        <v>0</v>
      </c>
      <c r="Y86" s="98">
        <f t="shared" si="61"/>
        <v>8132.25</v>
      </c>
      <c r="Z86" s="98">
        <f t="shared" si="45"/>
        <v>13942.95</v>
      </c>
      <c r="AA86" s="98">
        <f t="shared" si="46"/>
        <v>202.38749999999999</v>
      </c>
      <c r="AB86" s="98">
        <f t="shared" si="47"/>
        <v>0</v>
      </c>
      <c r="AC86" s="98">
        <f t="shared" si="48"/>
        <v>28449.75</v>
      </c>
      <c r="AD86" s="98">
        <f t="shared" si="49"/>
        <v>0</v>
      </c>
      <c r="AE86" s="98">
        <f t="shared" si="50"/>
        <v>0</v>
      </c>
      <c r="AF86" s="98">
        <f t="shared" si="51"/>
        <v>11543.7</v>
      </c>
      <c r="AG86" s="98">
        <f t="shared" si="52"/>
        <v>1365</v>
      </c>
      <c r="AH86" s="98">
        <f t="shared" si="53"/>
        <v>11433.975</v>
      </c>
      <c r="AI86" s="98">
        <f t="shared" si="58"/>
        <v>7809.375</v>
      </c>
      <c r="AJ86" s="429">
        <f t="shared" si="43"/>
        <v>82879.387500000012</v>
      </c>
      <c r="AK86" s="46">
        <v>7437.5</v>
      </c>
      <c r="AL86" s="46">
        <f t="shared" si="56"/>
        <v>371.875</v>
      </c>
      <c r="AM86" s="424">
        <f t="shared" si="57"/>
        <v>7809.375</v>
      </c>
    </row>
    <row r="87" spans="1:39" ht="15">
      <c r="A87" s="263"/>
      <c r="B87" s="263"/>
      <c r="C87" s="304">
        <v>59765.16</v>
      </c>
      <c r="D87" s="325">
        <v>40045.440000000002</v>
      </c>
      <c r="E87" s="326" t="s">
        <v>35</v>
      </c>
      <c r="F87" s="336"/>
      <c r="G87" s="328"/>
      <c r="H87" s="325"/>
      <c r="I87" s="325">
        <v>11056.51</v>
      </c>
      <c r="J87" s="325"/>
      <c r="K87" s="325">
        <v>120</v>
      </c>
      <c r="L87" s="325"/>
      <c r="M87" s="325">
        <v>5090</v>
      </c>
      <c r="N87" s="325">
        <v>168</v>
      </c>
      <c r="O87" s="325">
        <v>2800.47</v>
      </c>
      <c r="P87" s="325"/>
      <c r="Q87" s="325"/>
      <c r="R87" s="294">
        <v>3817</v>
      </c>
      <c r="S87" s="325"/>
      <c r="T87" s="294">
        <f t="shared" si="40"/>
        <v>23051.980000000003</v>
      </c>
      <c r="U87" s="304">
        <v>42047.71</v>
      </c>
      <c r="V87" s="297">
        <f t="shared" si="41"/>
        <v>-18995.729999999996</v>
      </c>
      <c r="X87" s="98">
        <f t="shared" si="60"/>
        <v>0</v>
      </c>
      <c r="Y87" s="98">
        <f t="shared" si="61"/>
        <v>0</v>
      </c>
      <c r="Z87" s="98">
        <f t="shared" si="45"/>
        <v>11609.335500000001</v>
      </c>
      <c r="AA87" s="98">
        <f t="shared" si="46"/>
        <v>0</v>
      </c>
      <c r="AB87" s="98">
        <f t="shared" si="47"/>
        <v>126</v>
      </c>
      <c r="AC87" s="98">
        <f t="shared" si="48"/>
        <v>0</v>
      </c>
      <c r="AD87" s="98">
        <f t="shared" si="49"/>
        <v>5344.5</v>
      </c>
      <c r="AE87" s="98">
        <f t="shared" si="50"/>
        <v>176.4</v>
      </c>
      <c r="AF87" s="98">
        <f t="shared" si="51"/>
        <v>2940.4934999999996</v>
      </c>
      <c r="AG87" s="98">
        <f t="shared" si="52"/>
        <v>0</v>
      </c>
      <c r="AH87" s="98">
        <f t="shared" si="53"/>
        <v>0</v>
      </c>
      <c r="AI87" s="98">
        <f t="shared" si="58"/>
        <v>4008.0689249999996</v>
      </c>
      <c r="AJ87" s="429">
        <f t="shared" si="43"/>
        <v>24204.797925000003</v>
      </c>
      <c r="AK87" s="46">
        <v>3817.2084999999997</v>
      </c>
      <c r="AL87" s="46">
        <f t="shared" si="56"/>
        <v>190.86042499999999</v>
      </c>
      <c r="AM87" s="424">
        <f t="shared" si="57"/>
        <v>4008.0689249999996</v>
      </c>
    </row>
    <row r="88" spans="1:39">
      <c r="A88" s="263"/>
      <c r="B88" s="263"/>
      <c r="C88" s="304">
        <v>0</v>
      </c>
      <c r="D88" s="325">
        <v>0</v>
      </c>
      <c r="E88" s="326" t="s">
        <v>36</v>
      </c>
      <c r="F88" s="327"/>
      <c r="G88" s="328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294"/>
      <c r="S88" s="325"/>
      <c r="T88" s="294">
        <f t="shared" si="40"/>
        <v>0</v>
      </c>
      <c r="U88" s="304">
        <v>0</v>
      </c>
      <c r="V88" s="297">
        <f t="shared" si="41"/>
        <v>0</v>
      </c>
      <c r="X88" s="98">
        <f t="shared" si="60"/>
        <v>0</v>
      </c>
      <c r="Y88" s="98">
        <f t="shared" si="61"/>
        <v>0</v>
      </c>
      <c r="Z88" s="98">
        <f t="shared" si="45"/>
        <v>0</v>
      </c>
      <c r="AA88" s="98">
        <f t="shared" si="46"/>
        <v>0</v>
      </c>
      <c r="AB88" s="98">
        <f t="shared" si="47"/>
        <v>0</v>
      </c>
      <c r="AC88" s="98">
        <f t="shared" si="48"/>
        <v>0</v>
      </c>
      <c r="AD88" s="98">
        <f t="shared" si="49"/>
        <v>0</v>
      </c>
      <c r="AE88" s="98">
        <f t="shared" si="50"/>
        <v>0</v>
      </c>
      <c r="AF88" s="98">
        <f t="shared" si="51"/>
        <v>0</v>
      </c>
      <c r="AG88" s="98">
        <f t="shared" si="52"/>
        <v>0</v>
      </c>
      <c r="AH88" s="98">
        <f t="shared" si="53"/>
        <v>0</v>
      </c>
      <c r="AI88" s="98">
        <f t="shared" si="58"/>
        <v>0</v>
      </c>
      <c r="AJ88" s="429">
        <f t="shared" si="43"/>
        <v>0</v>
      </c>
      <c r="AK88" s="46">
        <v>0</v>
      </c>
      <c r="AL88" s="46">
        <f t="shared" si="56"/>
        <v>0</v>
      </c>
      <c r="AM88" s="424">
        <f t="shared" si="57"/>
        <v>0</v>
      </c>
    </row>
    <row r="89" spans="1:39">
      <c r="A89" s="263"/>
      <c r="B89" s="263"/>
      <c r="C89" s="304">
        <v>60072.680000000008</v>
      </c>
      <c r="D89" s="325">
        <v>16326.739999999998</v>
      </c>
      <c r="E89" s="326" t="s">
        <v>37</v>
      </c>
      <c r="F89" s="327"/>
      <c r="G89" s="328"/>
      <c r="H89" s="325">
        <v>300.45999999999998</v>
      </c>
      <c r="I89" s="325">
        <v>1714.07</v>
      </c>
      <c r="J89" s="325"/>
      <c r="K89" s="325">
        <v>283.5</v>
      </c>
      <c r="L89" s="325">
        <v>369.64</v>
      </c>
      <c r="M89" s="325">
        <v>44</v>
      </c>
      <c r="N89" s="325">
        <v>500</v>
      </c>
      <c r="O89" s="325"/>
      <c r="P89" s="325">
        <f>1.35-3412.5</f>
        <v>-3411.15</v>
      </c>
      <c r="Q89" s="325">
        <v>385</v>
      </c>
      <c r="R89" s="294">
        <v>16641</v>
      </c>
      <c r="S89" s="325"/>
      <c r="T89" s="294">
        <f t="shared" si="40"/>
        <v>16826.52</v>
      </c>
      <c r="U89" s="304">
        <v>17129.900000000001</v>
      </c>
      <c r="V89" s="297">
        <f t="shared" si="41"/>
        <v>-303.38000000000102</v>
      </c>
      <c r="X89" s="98">
        <f t="shared" si="60"/>
        <v>0</v>
      </c>
      <c r="Y89" s="98">
        <f t="shared" si="61"/>
        <v>315.483</v>
      </c>
      <c r="Z89" s="98">
        <f t="shared" si="45"/>
        <v>1799.7735</v>
      </c>
      <c r="AA89" s="98">
        <f t="shared" si="46"/>
        <v>0</v>
      </c>
      <c r="AB89" s="98">
        <f t="shared" si="47"/>
        <v>297.67500000000001</v>
      </c>
      <c r="AC89" s="98">
        <f t="shared" si="48"/>
        <v>388.12199999999996</v>
      </c>
      <c r="AD89" s="98">
        <f t="shared" si="49"/>
        <v>46.2</v>
      </c>
      <c r="AE89" s="98">
        <f t="shared" si="50"/>
        <v>525</v>
      </c>
      <c r="AF89" s="98">
        <f t="shared" si="51"/>
        <v>0</v>
      </c>
      <c r="AG89" s="98">
        <f t="shared" si="52"/>
        <v>-3581.7075</v>
      </c>
      <c r="AH89" s="98">
        <f t="shared" si="53"/>
        <v>404.25</v>
      </c>
      <c r="AI89" s="98">
        <f t="shared" si="58"/>
        <v>17473.4784</v>
      </c>
      <c r="AJ89" s="429">
        <f t="shared" si="43"/>
        <v>17668.274399999998</v>
      </c>
      <c r="AK89" s="46">
        <v>16641.407999999999</v>
      </c>
      <c r="AL89" s="46">
        <f t="shared" si="56"/>
        <v>832.07040000000006</v>
      </c>
      <c r="AM89" s="424">
        <f t="shared" si="57"/>
        <v>17473.4784</v>
      </c>
    </row>
    <row r="90" spans="1:39">
      <c r="A90" s="263"/>
      <c r="B90" s="263"/>
      <c r="C90" s="304">
        <v>1699</v>
      </c>
      <c r="D90" s="325">
        <v>0</v>
      </c>
      <c r="E90" s="326" t="s">
        <v>70</v>
      </c>
      <c r="F90" s="327"/>
      <c r="G90" s="328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294">
        <v>595</v>
      </c>
      <c r="S90" s="325"/>
      <c r="T90" s="294">
        <f t="shared" si="40"/>
        <v>595</v>
      </c>
      <c r="U90" s="297">
        <v>0</v>
      </c>
      <c r="V90" s="297">
        <f t="shared" si="41"/>
        <v>595</v>
      </c>
      <c r="X90" s="98">
        <f t="shared" si="60"/>
        <v>0</v>
      </c>
      <c r="Y90" s="98">
        <f t="shared" si="61"/>
        <v>0</v>
      </c>
      <c r="Z90" s="98">
        <f t="shared" si="45"/>
        <v>0</v>
      </c>
      <c r="AA90" s="98">
        <f t="shared" si="46"/>
        <v>0</v>
      </c>
      <c r="AB90" s="98">
        <f t="shared" si="47"/>
        <v>0</v>
      </c>
      <c r="AC90" s="98">
        <f t="shared" si="48"/>
        <v>0</v>
      </c>
      <c r="AD90" s="98">
        <f t="shared" si="49"/>
        <v>0</v>
      </c>
      <c r="AE90" s="98">
        <f t="shared" si="50"/>
        <v>0</v>
      </c>
      <c r="AF90" s="98">
        <f t="shared" si="51"/>
        <v>0</v>
      </c>
      <c r="AG90" s="98">
        <f t="shared" si="52"/>
        <v>0</v>
      </c>
      <c r="AH90" s="98">
        <f t="shared" si="53"/>
        <v>0</v>
      </c>
      <c r="AI90" s="98">
        <f t="shared" si="58"/>
        <v>624.38250000000005</v>
      </c>
      <c r="AJ90" s="429">
        <f t="shared" si="43"/>
        <v>624.38250000000005</v>
      </c>
      <c r="AK90" s="46">
        <v>594.65000000000009</v>
      </c>
      <c r="AL90" s="46">
        <f t="shared" si="56"/>
        <v>29.732500000000005</v>
      </c>
      <c r="AM90" s="424">
        <f t="shared" si="57"/>
        <v>624.38250000000005</v>
      </c>
    </row>
    <row r="91" spans="1:39">
      <c r="A91" s="263"/>
      <c r="B91" s="263"/>
      <c r="C91" s="304">
        <v>0</v>
      </c>
      <c r="D91" s="325">
        <v>121.8</v>
      </c>
      <c r="E91" s="326" t="s">
        <v>38</v>
      </c>
      <c r="F91" s="327"/>
      <c r="G91" s="328"/>
      <c r="H91" s="325"/>
      <c r="I91" s="325"/>
      <c r="J91" s="325"/>
      <c r="K91" s="325"/>
      <c r="L91" s="325"/>
      <c r="M91" s="325">
        <v>1194.8</v>
      </c>
      <c r="N91" s="325"/>
      <c r="O91" s="325"/>
      <c r="P91" s="325">
        <v>495</v>
      </c>
      <c r="Q91" s="325"/>
      <c r="R91" s="294"/>
      <c r="S91" s="325"/>
      <c r="T91" s="294">
        <f t="shared" si="40"/>
        <v>1689.8</v>
      </c>
      <c r="U91" s="304">
        <v>127.89</v>
      </c>
      <c r="V91" s="297">
        <f t="shared" si="41"/>
        <v>1561.9099999999999</v>
      </c>
      <c r="X91" s="98">
        <f t="shared" si="60"/>
        <v>0</v>
      </c>
      <c r="Y91" s="98">
        <f t="shared" si="61"/>
        <v>0</v>
      </c>
      <c r="Z91" s="98">
        <f t="shared" si="45"/>
        <v>0</v>
      </c>
      <c r="AA91" s="98">
        <f t="shared" si="46"/>
        <v>0</v>
      </c>
      <c r="AB91" s="98">
        <f t="shared" si="47"/>
        <v>0</v>
      </c>
      <c r="AC91" s="98">
        <f t="shared" si="48"/>
        <v>0</v>
      </c>
      <c r="AD91" s="98">
        <f t="shared" si="49"/>
        <v>1254.54</v>
      </c>
      <c r="AE91" s="98">
        <f t="shared" si="50"/>
        <v>0</v>
      </c>
      <c r="AF91" s="98">
        <f t="shared" si="51"/>
        <v>0</v>
      </c>
      <c r="AG91" s="98">
        <f t="shared" si="52"/>
        <v>519.75</v>
      </c>
      <c r="AH91" s="98">
        <f t="shared" si="53"/>
        <v>0</v>
      </c>
      <c r="AI91" s="98">
        <f t="shared" si="58"/>
        <v>0</v>
      </c>
      <c r="AJ91" s="429">
        <f t="shared" si="43"/>
        <v>1774.29</v>
      </c>
      <c r="AK91" s="46">
        <v>0</v>
      </c>
      <c r="AL91" s="46">
        <f t="shared" si="56"/>
        <v>0</v>
      </c>
      <c r="AM91" s="424">
        <f t="shared" si="57"/>
        <v>0</v>
      </c>
    </row>
    <row r="92" spans="1:39">
      <c r="A92" s="263"/>
      <c r="B92" s="263"/>
      <c r="C92" s="304">
        <v>15090</v>
      </c>
      <c r="D92" s="325">
        <v>15640</v>
      </c>
      <c r="E92" s="326" t="s">
        <v>39</v>
      </c>
      <c r="F92" s="327"/>
      <c r="G92" s="328"/>
      <c r="H92" s="294"/>
      <c r="I92" s="294"/>
      <c r="J92" s="294"/>
      <c r="K92" s="294"/>
      <c r="L92" s="294"/>
      <c r="M92" s="294"/>
      <c r="N92" s="294"/>
      <c r="O92" s="294">
        <v>16000</v>
      </c>
      <c r="P92" s="294"/>
      <c r="Q92" s="294"/>
      <c r="R92" s="294"/>
      <c r="S92" s="325"/>
      <c r="T92" s="294">
        <f t="shared" si="40"/>
        <v>16000</v>
      </c>
      <c r="U92" s="304">
        <v>672</v>
      </c>
      <c r="V92" s="297">
        <f t="shared" si="41"/>
        <v>15328</v>
      </c>
      <c r="X92" s="98">
        <f t="shared" si="60"/>
        <v>0</v>
      </c>
      <c r="Y92" s="98">
        <f t="shared" si="61"/>
        <v>0</v>
      </c>
      <c r="Z92" s="98">
        <f t="shared" si="45"/>
        <v>0</v>
      </c>
      <c r="AA92" s="98">
        <f t="shared" si="46"/>
        <v>0</v>
      </c>
      <c r="AB92" s="98">
        <f t="shared" si="47"/>
        <v>0</v>
      </c>
      <c r="AC92" s="98">
        <f t="shared" si="48"/>
        <v>0</v>
      </c>
      <c r="AD92" s="98">
        <f t="shared" si="49"/>
        <v>0</v>
      </c>
      <c r="AE92" s="98">
        <f t="shared" si="50"/>
        <v>0</v>
      </c>
      <c r="AF92" s="98">
        <f t="shared" si="51"/>
        <v>16800</v>
      </c>
      <c r="AG92" s="98">
        <f t="shared" si="52"/>
        <v>0</v>
      </c>
      <c r="AH92" s="98">
        <f t="shared" si="53"/>
        <v>0</v>
      </c>
      <c r="AI92" s="98">
        <f t="shared" si="58"/>
        <v>0</v>
      </c>
      <c r="AJ92" s="429">
        <f t="shared" si="43"/>
        <v>16800</v>
      </c>
      <c r="AK92" s="46">
        <v>0</v>
      </c>
      <c r="AL92" s="46">
        <f t="shared" si="56"/>
        <v>0</v>
      </c>
      <c r="AM92" s="424">
        <f t="shared" si="57"/>
        <v>0</v>
      </c>
    </row>
    <row r="93" spans="1:39">
      <c r="A93" s="263"/>
      <c r="B93" s="263"/>
      <c r="C93" s="304">
        <v>0</v>
      </c>
      <c r="D93" s="325">
        <v>0</v>
      </c>
      <c r="E93" s="326" t="s">
        <v>54</v>
      </c>
      <c r="F93" s="327"/>
      <c r="G93" s="328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325"/>
      <c r="T93" s="294">
        <f t="shared" si="40"/>
        <v>0</v>
      </c>
      <c r="U93" s="304">
        <v>0</v>
      </c>
      <c r="V93" s="297">
        <f t="shared" si="41"/>
        <v>0</v>
      </c>
      <c r="X93" s="98">
        <f t="shared" si="60"/>
        <v>0</v>
      </c>
      <c r="Y93" s="98">
        <f t="shared" si="61"/>
        <v>0</v>
      </c>
      <c r="Z93" s="98">
        <f t="shared" si="45"/>
        <v>0</v>
      </c>
      <c r="AA93" s="98">
        <f t="shared" si="46"/>
        <v>0</v>
      </c>
      <c r="AB93" s="98">
        <f t="shared" si="47"/>
        <v>0</v>
      </c>
      <c r="AC93" s="98">
        <f t="shared" si="48"/>
        <v>0</v>
      </c>
      <c r="AD93" s="98">
        <f t="shared" si="49"/>
        <v>0</v>
      </c>
      <c r="AE93" s="98">
        <f t="shared" si="50"/>
        <v>0</v>
      </c>
      <c r="AF93" s="98">
        <f t="shared" si="51"/>
        <v>0</v>
      </c>
      <c r="AG93" s="98">
        <f t="shared" si="52"/>
        <v>0</v>
      </c>
      <c r="AH93" s="98">
        <f t="shared" si="53"/>
        <v>0</v>
      </c>
      <c r="AI93" s="98">
        <f t="shared" si="58"/>
        <v>0</v>
      </c>
      <c r="AJ93" s="429">
        <f t="shared" si="43"/>
        <v>0</v>
      </c>
      <c r="AK93" s="46">
        <v>0</v>
      </c>
      <c r="AL93" s="46">
        <f t="shared" si="56"/>
        <v>0</v>
      </c>
      <c r="AM93" s="424">
        <f t="shared" si="57"/>
        <v>0</v>
      </c>
    </row>
    <row r="94" spans="1:39">
      <c r="A94" s="263"/>
      <c r="B94" s="263"/>
      <c r="C94" s="304">
        <v>61.2</v>
      </c>
      <c r="D94" s="294">
        <v>183.98</v>
      </c>
      <c r="E94" s="326" t="s">
        <v>40</v>
      </c>
      <c r="F94" s="327"/>
      <c r="G94" s="328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294"/>
      <c r="S94" s="325"/>
      <c r="T94" s="294">
        <f t="shared" si="40"/>
        <v>0</v>
      </c>
      <c r="U94" s="304">
        <v>0</v>
      </c>
      <c r="V94" s="297">
        <f t="shared" si="41"/>
        <v>0</v>
      </c>
      <c r="X94" s="98">
        <f t="shared" si="60"/>
        <v>0</v>
      </c>
      <c r="Y94" s="98">
        <f t="shared" si="61"/>
        <v>0</v>
      </c>
      <c r="Z94" s="98">
        <f t="shared" si="45"/>
        <v>0</v>
      </c>
      <c r="AA94" s="98">
        <f t="shared" si="46"/>
        <v>0</v>
      </c>
      <c r="AB94" s="98">
        <f t="shared" si="47"/>
        <v>0</v>
      </c>
      <c r="AC94" s="98">
        <f t="shared" si="48"/>
        <v>0</v>
      </c>
      <c r="AD94" s="98">
        <f t="shared" si="49"/>
        <v>0</v>
      </c>
      <c r="AE94" s="98">
        <f t="shared" si="50"/>
        <v>0</v>
      </c>
      <c r="AF94" s="98">
        <f t="shared" si="51"/>
        <v>0</v>
      </c>
      <c r="AG94" s="98">
        <f t="shared" si="52"/>
        <v>0</v>
      </c>
      <c r="AH94" s="98">
        <f t="shared" si="53"/>
        <v>0</v>
      </c>
      <c r="AI94" s="98">
        <f t="shared" si="58"/>
        <v>0</v>
      </c>
      <c r="AJ94" s="429">
        <f t="shared" si="43"/>
        <v>0</v>
      </c>
      <c r="AK94" s="46">
        <v>0</v>
      </c>
      <c r="AL94" s="46">
        <f t="shared" si="56"/>
        <v>0</v>
      </c>
      <c r="AM94" s="424">
        <f t="shared" si="57"/>
        <v>0</v>
      </c>
    </row>
    <row r="95" spans="1:39">
      <c r="A95" s="263"/>
      <c r="B95" s="263"/>
      <c r="C95" s="304">
        <v>0</v>
      </c>
      <c r="D95" s="294">
        <v>0</v>
      </c>
      <c r="E95" s="326" t="s">
        <v>41</v>
      </c>
      <c r="F95" s="327"/>
      <c r="G95" s="328"/>
      <c r="H95" s="325"/>
      <c r="I95" s="325">
        <v>2134.4</v>
      </c>
      <c r="J95" s="325"/>
      <c r="K95" s="325"/>
      <c r="L95" s="325"/>
      <c r="M95" s="325"/>
      <c r="N95" s="325"/>
      <c r="O95" s="325"/>
      <c r="P95" s="325"/>
      <c r="Q95" s="325"/>
      <c r="R95" s="294"/>
      <c r="S95" s="325"/>
      <c r="T95" s="294">
        <f t="shared" si="40"/>
        <v>2134.4</v>
      </c>
      <c r="U95" s="304">
        <v>193.18</v>
      </c>
      <c r="V95" s="297">
        <f t="shared" si="41"/>
        <v>1941.22</v>
      </c>
      <c r="X95" s="98">
        <f t="shared" si="60"/>
        <v>0</v>
      </c>
      <c r="Y95" s="98">
        <f t="shared" si="61"/>
        <v>0</v>
      </c>
      <c r="Z95" s="98">
        <f t="shared" si="45"/>
        <v>2241.12</v>
      </c>
      <c r="AA95" s="98">
        <f t="shared" si="46"/>
        <v>0</v>
      </c>
      <c r="AB95" s="98">
        <f t="shared" si="47"/>
        <v>0</v>
      </c>
      <c r="AC95" s="98">
        <f t="shared" si="48"/>
        <v>0</v>
      </c>
      <c r="AD95" s="98">
        <f t="shared" si="49"/>
        <v>0</v>
      </c>
      <c r="AE95" s="98">
        <f t="shared" si="50"/>
        <v>0</v>
      </c>
      <c r="AF95" s="98">
        <f t="shared" si="51"/>
        <v>0</v>
      </c>
      <c r="AG95" s="98">
        <f t="shared" si="52"/>
        <v>0</v>
      </c>
      <c r="AH95" s="98">
        <f t="shared" si="53"/>
        <v>0</v>
      </c>
      <c r="AI95" s="98">
        <f t="shared" si="58"/>
        <v>0</v>
      </c>
      <c r="AJ95" s="429">
        <f t="shared" si="43"/>
        <v>2241.12</v>
      </c>
      <c r="AK95" s="46">
        <v>0</v>
      </c>
      <c r="AL95" s="46">
        <f t="shared" si="56"/>
        <v>0</v>
      </c>
      <c r="AM95" s="424">
        <f t="shared" si="57"/>
        <v>0</v>
      </c>
    </row>
    <row r="96" spans="1:39">
      <c r="A96" s="263"/>
      <c r="B96" s="263"/>
      <c r="C96" s="304">
        <v>19496.249999999996</v>
      </c>
      <c r="D96" s="294">
        <v>31103.15</v>
      </c>
      <c r="E96" s="326" t="s">
        <v>42</v>
      </c>
      <c r="F96" s="327"/>
      <c r="G96" s="328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>
        <v>2216</v>
      </c>
      <c r="S96" s="325"/>
      <c r="T96" s="294">
        <f t="shared" si="40"/>
        <v>2216</v>
      </c>
      <c r="U96" s="423">
        <v>28394.89</v>
      </c>
      <c r="V96" s="297">
        <f t="shared" si="41"/>
        <v>-26178.89</v>
      </c>
      <c r="X96" s="98">
        <f t="shared" si="60"/>
        <v>0</v>
      </c>
      <c r="Y96" s="98">
        <f t="shared" si="61"/>
        <v>0</v>
      </c>
      <c r="Z96" s="98">
        <f t="shared" si="45"/>
        <v>0</v>
      </c>
      <c r="AA96" s="98">
        <f t="shared" si="46"/>
        <v>0</v>
      </c>
      <c r="AB96" s="98">
        <f t="shared" si="47"/>
        <v>0</v>
      </c>
      <c r="AC96" s="98">
        <f t="shared" si="48"/>
        <v>0</v>
      </c>
      <c r="AD96" s="98">
        <f t="shared" si="49"/>
        <v>0</v>
      </c>
      <c r="AE96" s="98">
        <f t="shared" si="50"/>
        <v>0</v>
      </c>
      <c r="AF96" s="98">
        <f t="shared" si="51"/>
        <v>0</v>
      </c>
      <c r="AG96" s="98">
        <f t="shared" si="52"/>
        <v>0</v>
      </c>
      <c r="AH96" s="98">
        <f t="shared" si="53"/>
        <v>0</v>
      </c>
      <c r="AI96" s="98">
        <f t="shared" si="58"/>
        <v>2327.0504249999999</v>
      </c>
      <c r="AJ96" s="429">
        <f t="shared" si="43"/>
        <v>2327.0504249999999</v>
      </c>
      <c r="AK96" s="46">
        <v>2216.2384999999999</v>
      </c>
      <c r="AL96" s="46">
        <f t="shared" si="56"/>
        <v>110.811925</v>
      </c>
      <c r="AM96" s="424">
        <f t="shared" si="57"/>
        <v>2327.0504249999999</v>
      </c>
    </row>
    <row r="97" spans="1:39">
      <c r="A97" s="263"/>
      <c r="B97" s="263"/>
      <c r="C97" s="304">
        <v>0</v>
      </c>
      <c r="D97" s="294">
        <v>0</v>
      </c>
      <c r="E97" s="326" t="s">
        <v>61</v>
      </c>
      <c r="F97" s="327"/>
      <c r="G97" s="328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325"/>
      <c r="T97" s="294">
        <f t="shared" si="40"/>
        <v>0</v>
      </c>
      <c r="U97" s="304">
        <v>0</v>
      </c>
      <c r="V97" s="297">
        <f t="shared" si="41"/>
        <v>0</v>
      </c>
      <c r="X97" s="98">
        <f t="shared" si="60"/>
        <v>0</v>
      </c>
      <c r="Y97" s="98">
        <f t="shared" si="61"/>
        <v>0</v>
      </c>
      <c r="Z97" s="98">
        <f t="shared" si="45"/>
        <v>0</v>
      </c>
      <c r="AA97" s="98">
        <f t="shared" si="46"/>
        <v>0</v>
      </c>
      <c r="AB97" s="98">
        <f t="shared" si="47"/>
        <v>0</v>
      </c>
      <c r="AC97" s="98">
        <f t="shared" si="48"/>
        <v>0</v>
      </c>
      <c r="AD97" s="98">
        <f t="shared" si="49"/>
        <v>0</v>
      </c>
      <c r="AE97" s="98">
        <f t="shared" si="50"/>
        <v>0</v>
      </c>
      <c r="AF97" s="98">
        <f t="shared" si="51"/>
        <v>0</v>
      </c>
      <c r="AG97" s="98">
        <f t="shared" si="52"/>
        <v>0</v>
      </c>
      <c r="AH97" s="98">
        <f t="shared" si="53"/>
        <v>0</v>
      </c>
      <c r="AI97" s="98">
        <f t="shared" si="58"/>
        <v>0</v>
      </c>
      <c r="AJ97" s="429">
        <f t="shared" si="43"/>
        <v>0</v>
      </c>
      <c r="AK97" s="46">
        <v>0</v>
      </c>
      <c r="AL97" s="46">
        <f t="shared" si="56"/>
        <v>0</v>
      </c>
      <c r="AM97" s="424">
        <f t="shared" si="57"/>
        <v>0</v>
      </c>
    </row>
    <row r="98" spans="1:39">
      <c r="A98" s="263"/>
      <c r="B98" s="263"/>
      <c r="C98" s="304">
        <v>220</v>
      </c>
      <c r="D98" s="294">
        <v>1273.3600000000001</v>
      </c>
      <c r="E98" s="326" t="s">
        <v>55</v>
      </c>
      <c r="F98" s="327"/>
      <c r="G98" s="328">
        <v>208.8</v>
      </c>
      <c r="H98" s="294">
        <v>240</v>
      </c>
      <c r="I98" s="294">
        <v>615</v>
      </c>
      <c r="J98" s="294">
        <v>320</v>
      </c>
      <c r="K98" s="294"/>
      <c r="L98" s="294"/>
      <c r="M98" s="294">
        <v>139.19999999999999</v>
      </c>
      <c r="N98" s="294">
        <v>194.4</v>
      </c>
      <c r="O98" s="294">
        <v>320</v>
      </c>
      <c r="P98" s="294">
        <v>104.4</v>
      </c>
      <c r="Q98" s="294">
        <v>1139.2</v>
      </c>
      <c r="R98" s="294">
        <v>32</v>
      </c>
      <c r="S98" s="325"/>
      <c r="T98" s="294">
        <f t="shared" si="40"/>
        <v>3313</v>
      </c>
      <c r="U98" s="304">
        <v>1085.03</v>
      </c>
      <c r="V98" s="297">
        <f t="shared" si="41"/>
        <v>2227.9700000000003</v>
      </c>
      <c r="X98" s="98">
        <f t="shared" si="60"/>
        <v>219.24</v>
      </c>
      <c r="Y98" s="98">
        <f t="shared" si="61"/>
        <v>252</v>
      </c>
      <c r="Z98" s="98">
        <f t="shared" si="45"/>
        <v>645.75</v>
      </c>
      <c r="AA98" s="98">
        <f t="shared" si="46"/>
        <v>336</v>
      </c>
      <c r="AB98" s="98">
        <f t="shared" si="47"/>
        <v>0</v>
      </c>
      <c r="AC98" s="98">
        <f t="shared" si="48"/>
        <v>0</v>
      </c>
      <c r="AD98" s="98">
        <f t="shared" si="49"/>
        <v>146.16</v>
      </c>
      <c r="AE98" s="98">
        <f t="shared" si="50"/>
        <v>204.12</v>
      </c>
      <c r="AF98" s="98">
        <f t="shared" si="51"/>
        <v>336</v>
      </c>
      <c r="AG98" s="98">
        <f t="shared" si="52"/>
        <v>109.62</v>
      </c>
      <c r="AH98" s="98">
        <f t="shared" si="53"/>
        <v>1196.1600000000001</v>
      </c>
      <c r="AI98" s="98">
        <f t="shared" si="58"/>
        <v>33.075000000000003</v>
      </c>
      <c r="AJ98" s="429">
        <f t="shared" si="43"/>
        <v>3478.125</v>
      </c>
      <c r="AK98" s="46">
        <v>31.5</v>
      </c>
      <c r="AL98" s="46">
        <f t="shared" si="56"/>
        <v>1.5750000000000002</v>
      </c>
      <c r="AM98" s="424">
        <f t="shared" si="57"/>
        <v>33.075000000000003</v>
      </c>
    </row>
    <row r="99" spans="1:39">
      <c r="A99" s="263"/>
      <c r="B99" s="263"/>
      <c r="C99" s="304">
        <v>12538</v>
      </c>
      <c r="D99" s="294">
        <v>0</v>
      </c>
      <c r="E99" s="326" t="s">
        <v>14</v>
      </c>
      <c r="F99" s="327"/>
      <c r="G99" s="328"/>
      <c r="H99" s="294"/>
      <c r="I99" s="294"/>
      <c r="J99" s="294"/>
      <c r="K99" s="294"/>
      <c r="L99" s="294"/>
      <c r="M99" s="294"/>
      <c r="N99" s="294"/>
      <c r="O99" s="294">
        <v>112</v>
      </c>
      <c r="P99" s="294"/>
      <c r="Q99" s="294"/>
      <c r="R99" s="294">
        <v>0</v>
      </c>
      <c r="S99" s="325"/>
      <c r="T99" s="294">
        <f t="shared" si="40"/>
        <v>112</v>
      </c>
      <c r="U99" s="304">
        <v>0</v>
      </c>
      <c r="V99" s="297">
        <f t="shared" si="41"/>
        <v>112</v>
      </c>
      <c r="X99" s="98">
        <f t="shared" si="60"/>
        <v>0</v>
      </c>
      <c r="Y99" s="98">
        <f t="shared" si="61"/>
        <v>0</v>
      </c>
      <c r="Z99" s="98">
        <f t="shared" si="45"/>
        <v>0</v>
      </c>
      <c r="AA99" s="98">
        <f t="shared" si="46"/>
        <v>0</v>
      </c>
      <c r="AB99" s="98">
        <f t="shared" si="47"/>
        <v>0</v>
      </c>
      <c r="AC99" s="98">
        <f t="shared" si="48"/>
        <v>0</v>
      </c>
      <c r="AD99" s="98">
        <f t="shared" si="49"/>
        <v>0</v>
      </c>
      <c r="AE99" s="98">
        <f t="shared" si="50"/>
        <v>0</v>
      </c>
      <c r="AF99" s="98">
        <f t="shared" si="51"/>
        <v>117.6</v>
      </c>
      <c r="AG99" s="98">
        <f t="shared" si="52"/>
        <v>0</v>
      </c>
      <c r="AH99" s="98">
        <f t="shared" si="53"/>
        <v>0</v>
      </c>
      <c r="AI99" s="98">
        <f t="shared" si="58"/>
        <v>4607.7149999999992</v>
      </c>
      <c r="AJ99" s="429">
        <f t="shared" si="43"/>
        <v>4725.3149999999996</v>
      </c>
      <c r="AK99" s="46">
        <v>4388.2999999999993</v>
      </c>
      <c r="AL99" s="46">
        <f t="shared" si="56"/>
        <v>219.41499999999996</v>
      </c>
      <c r="AM99" s="424">
        <f t="shared" si="57"/>
        <v>4607.7149999999992</v>
      </c>
    </row>
    <row r="100" spans="1:39">
      <c r="A100" s="263"/>
      <c r="B100" s="263"/>
      <c r="C100" s="304">
        <v>10087</v>
      </c>
      <c r="D100" s="294">
        <v>20023.060000000001</v>
      </c>
      <c r="E100" s="326" t="s">
        <v>56</v>
      </c>
      <c r="F100" s="327"/>
      <c r="G100" s="328">
        <v>1075</v>
      </c>
      <c r="H100" s="294"/>
      <c r="I100" s="294"/>
      <c r="J100" s="294"/>
      <c r="K100" s="294"/>
      <c r="L100" s="294">
        <v>814</v>
      </c>
      <c r="M100" s="294"/>
      <c r="N100" s="294"/>
      <c r="O100" s="294">
        <v>764</v>
      </c>
      <c r="P100" s="294">
        <v>916</v>
      </c>
      <c r="Q100" s="294">
        <v>764</v>
      </c>
      <c r="R100" s="294"/>
      <c r="S100" s="325"/>
      <c r="T100" s="294">
        <f t="shared" si="40"/>
        <v>4333</v>
      </c>
      <c r="U100" s="304">
        <v>2571.4499999999998</v>
      </c>
      <c r="V100" s="297">
        <f t="shared" si="41"/>
        <v>1761.5500000000002</v>
      </c>
      <c r="X100" s="98">
        <f t="shared" si="60"/>
        <v>1128.75</v>
      </c>
      <c r="Y100" s="98">
        <f t="shared" si="61"/>
        <v>0</v>
      </c>
      <c r="Z100" s="98">
        <f t="shared" si="45"/>
        <v>0</v>
      </c>
      <c r="AA100" s="98">
        <f t="shared" si="46"/>
        <v>0</v>
      </c>
      <c r="AB100" s="98">
        <f t="shared" si="47"/>
        <v>0</v>
      </c>
      <c r="AC100" s="98">
        <f t="shared" si="48"/>
        <v>854.7</v>
      </c>
      <c r="AD100" s="98">
        <f t="shared" si="49"/>
        <v>0</v>
      </c>
      <c r="AE100" s="98">
        <f t="shared" si="50"/>
        <v>0</v>
      </c>
      <c r="AF100" s="98">
        <f t="shared" si="51"/>
        <v>802.2</v>
      </c>
      <c r="AG100" s="98">
        <f t="shared" si="52"/>
        <v>961.8</v>
      </c>
      <c r="AH100" s="98">
        <f t="shared" si="53"/>
        <v>802.2</v>
      </c>
      <c r="AI100" s="98">
        <f t="shared" si="58"/>
        <v>0</v>
      </c>
      <c r="AJ100" s="429">
        <f t="shared" si="43"/>
        <v>4549.6499999999996</v>
      </c>
      <c r="AK100" s="46">
        <v>0</v>
      </c>
      <c r="AL100" s="46">
        <f t="shared" si="56"/>
        <v>0</v>
      </c>
      <c r="AM100" s="424">
        <f t="shared" si="57"/>
        <v>0</v>
      </c>
    </row>
    <row r="101" spans="1:39">
      <c r="A101" s="263"/>
      <c r="B101" s="263"/>
      <c r="C101" s="304">
        <v>2970</v>
      </c>
      <c r="D101" s="294">
        <v>7250</v>
      </c>
      <c r="E101" s="326" t="s">
        <v>47</v>
      </c>
      <c r="F101" s="327"/>
      <c r="G101" s="328"/>
      <c r="H101" s="294">
        <v>14240</v>
      </c>
      <c r="I101" s="294">
        <v>5900</v>
      </c>
      <c r="J101" s="294"/>
      <c r="K101" s="294"/>
      <c r="L101" s="294"/>
      <c r="M101" s="294"/>
      <c r="N101" s="294">
        <v>2198.2800000000002</v>
      </c>
      <c r="O101" s="294"/>
      <c r="P101" s="294"/>
      <c r="Q101" s="294"/>
      <c r="R101" s="294">
        <v>17598</v>
      </c>
      <c r="S101" s="325"/>
      <c r="T101" s="294">
        <f t="shared" si="40"/>
        <v>39936.28</v>
      </c>
      <c r="U101" s="304">
        <v>7612.5</v>
      </c>
      <c r="V101" s="297">
        <f t="shared" si="41"/>
        <v>32323.78</v>
      </c>
      <c r="X101" s="98">
        <f>216076/12</f>
        <v>18006.333333333332</v>
      </c>
      <c r="Y101" s="98">
        <f t="shared" ref="Y101:AI101" si="62">216076/12</f>
        <v>18006.333333333332</v>
      </c>
      <c r="Z101" s="98">
        <f t="shared" si="62"/>
        <v>18006.333333333332</v>
      </c>
      <c r="AA101" s="98">
        <f t="shared" si="62"/>
        <v>18006.333333333332</v>
      </c>
      <c r="AB101" s="98">
        <f t="shared" si="62"/>
        <v>18006.333333333332</v>
      </c>
      <c r="AC101" s="98">
        <f t="shared" si="62"/>
        <v>18006.333333333332</v>
      </c>
      <c r="AD101" s="98">
        <f t="shared" si="62"/>
        <v>18006.333333333332</v>
      </c>
      <c r="AE101" s="98">
        <f t="shared" si="62"/>
        <v>18006.333333333332</v>
      </c>
      <c r="AF101" s="98">
        <f t="shared" si="62"/>
        <v>18006.333333333332</v>
      </c>
      <c r="AG101" s="98">
        <f t="shared" si="62"/>
        <v>18006.333333333332</v>
      </c>
      <c r="AH101" s="98">
        <f t="shared" si="62"/>
        <v>18006.333333333332</v>
      </c>
      <c r="AI101" s="98">
        <f t="shared" si="62"/>
        <v>18006.333333333332</v>
      </c>
      <c r="AJ101" s="429">
        <f t="shared" si="43"/>
        <v>216076.00000000003</v>
      </c>
      <c r="AK101" s="46">
        <v>17598</v>
      </c>
      <c r="AL101" s="46">
        <f t="shared" si="56"/>
        <v>879.90000000000009</v>
      </c>
      <c r="AM101" s="424">
        <f t="shared" si="57"/>
        <v>18477.900000000001</v>
      </c>
    </row>
    <row r="102" spans="1:39">
      <c r="A102" s="263"/>
      <c r="B102" s="263"/>
      <c r="C102" s="304">
        <v>0</v>
      </c>
      <c r="D102" s="294">
        <v>6651.0300000000007</v>
      </c>
      <c r="E102" s="326" t="s">
        <v>0</v>
      </c>
      <c r="F102" s="327"/>
      <c r="G102" s="328">
        <v>17531.900000000001</v>
      </c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325"/>
      <c r="T102" s="294">
        <f t="shared" si="40"/>
        <v>17531.900000000001</v>
      </c>
      <c r="U102" s="304">
        <v>3643.5</v>
      </c>
      <c r="V102" s="297">
        <f t="shared" si="41"/>
        <v>13888.400000000001</v>
      </c>
      <c r="X102" s="98">
        <f t="shared" ref="X102:Y106" si="63">+(G102*5%)+G102</f>
        <v>18408.495000000003</v>
      </c>
      <c r="Y102" s="98">
        <f t="shared" si="63"/>
        <v>0</v>
      </c>
      <c r="Z102" s="98">
        <f t="shared" si="45"/>
        <v>0</v>
      </c>
      <c r="AA102" s="98">
        <f t="shared" si="46"/>
        <v>0</v>
      </c>
      <c r="AB102" s="98">
        <f t="shared" si="47"/>
        <v>0</v>
      </c>
      <c r="AC102" s="98">
        <f t="shared" si="48"/>
        <v>0</v>
      </c>
      <c r="AD102" s="98">
        <f t="shared" si="49"/>
        <v>0</v>
      </c>
      <c r="AE102" s="98">
        <f t="shared" si="50"/>
        <v>0</v>
      </c>
      <c r="AF102" s="98">
        <f t="shared" si="51"/>
        <v>0</v>
      </c>
      <c r="AG102" s="98">
        <f t="shared" si="52"/>
        <v>0</v>
      </c>
      <c r="AH102" s="98">
        <f t="shared" si="53"/>
        <v>0</v>
      </c>
      <c r="AI102" s="98">
        <f t="shared" si="58"/>
        <v>0</v>
      </c>
      <c r="AJ102" s="429">
        <f t="shared" si="43"/>
        <v>18408.495000000003</v>
      </c>
      <c r="AK102" s="46">
        <v>0</v>
      </c>
      <c r="AL102" s="46">
        <f t="shared" si="56"/>
        <v>0</v>
      </c>
      <c r="AM102" s="424">
        <f t="shared" si="57"/>
        <v>0</v>
      </c>
    </row>
    <row r="103" spans="1:39">
      <c r="A103" s="263"/>
      <c r="B103" s="263"/>
      <c r="C103" s="304">
        <v>0</v>
      </c>
      <c r="D103" s="294">
        <v>1932.08</v>
      </c>
      <c r="E103" s="326" t="s">
        <v>43</v>
      </c>
      <c r="F103" s="327"/>
      <c r="G103" s="328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294"/>
      <c r="S103" s="325"/>
      <c r="T103" s="294">
        <f t="shared" si="40"/>
        <v>0</v>
      </c>
      <c r="U103" s="304">
        <v>2028.68</v>
      </c>
      <c r="V103" s="297">
        <f t="shared" si="41"/>
        <v>-2028.68</v>
      </c>
      <c r="X103" s="98">
        <f t="shared" si="63"/>
        <v>0</v>
      </c>
      <c r="Y103" s="98">
        <f t="shared" si="63"/>
        <v>0</v>
      </c>
      <c r="Z103" s="98">
        <f t="shared" si="45"/>
        <v>0</v>
      </c>
      <c r="AA103" s="98">
        <f t="shared" si="46"/>
        <v>0</v>
      </c>
      <c r="AB103" s="98">
        <f t="shared" si="47"/>
        <v>0</v>
      </c>
      <c r="AC103" s="98">
        <f t="shared" si="48"/>
        <v>0</v>
      </c>
      <c r="AD103" s="98">
        <f t="shared" si="49"/>
        <v>0</v>
      </c>
      <c r="AE103" s="98">
        <f t="shared" si="50"/>
        <v>0</v>
      </c>
      <c r="AF103" s="98">
        <f t="shared" si="51"/>
        <v>0</v>
      </c>
      <c r="AG103" s="98">
        <f t="shared" si="52"/>
        <v>0</v>
      </c>
      <c r="AH103" s="98">
        <f t="shared" si="53"/>
        <v>0</v>
      </c>
      <c r="AI103" s="98">
        <f t="shared" si="58"/>
        <v>0</v>
      </c>
      <c r="AJ103" s="429">
        <f t="shared" si="43"/>
        <v>0</v>
      </c>
      <c r="AK103" s="46">
        <v>0</v>
      </c>
      <c r="AL103" s="46">
        <f t="shared" si="56"/>
        <v>0</v>
      </c>
      <c r="AM103" s="424">
        <f t="shared" si="57"/>
        <v>0</v>
      </c>
    </row>
    <row r="104" spans="1:39">
      <c r="A104" s="263"/>
      <c r="B104" s="263"/>
      <c r="C104" s="304"/>
      <c r="D104" s="294"/>
      <c r="E104" s="326" t="s">
        <v>319</v>
      </c>
      <c r="F104" s="327"/>
      <c r="G104" s="328"/>
      <c r="H104" s="325"/>
      <c r="I104" s="325"/>
      <c r="J104" s="325"/>
      <c r="K104" s="325"/>
      <c r="L104" s="325"/>
      <c r="M104" s="325"/>
      <c r="N104" s="325"/>
      <c r="O104" s="325"/>
      <c r="P104" s="325">
        <v>82878</v>
      </c>
      <c r="Q104" s="325"/>
      <c r="R104" s="294"/>
      <c r="S104" s="325"/>
      <c r="T104" s="294">
        <f t="shared" si="40"/>
        <v>82878</v>
      </c>
      <c r="U104" s="304"/>
      <c r="V104" s="297"/>
      <c r="X104" s="98">
        <f t="shared" si="63"/>
        <v>0</v>
      </c>
      <c r="Y104" s="98">
        <f t="shared" si="63"/>
        <v>0</v>
      </c>
      <c r="Z104" s="98">
        <f t="shared" si="45"/>
        <v>0</v>
      </c>
      <c r="AA104" s="98">
        <f t="shared" si="46"/>
        <v>0</v>
      </c>
      <c r="AB104" s="98">
        <f t="shared" si="47"/>
        <v>0</v>
      </c>
      <c r="AC104" s="98">
        <f t="shared" si="48"/>
        <v>0</v>
      </c>
      <c r="AD104" s="98">
        <f t="shared" si="49"/>
        <v>0</v>
      </c>
      <c r="AE104" s="98">
        <f t="shared" si="50"/>
        <v>0</v>
      </c>
      <c r="AF104" s="98">
        <f t="shared" si="51"/>
        <v>0</v>
      </c>
      <c r="AG104" s="98">
        <f t="shared" si="52"/>
        <v>87021.9</v>
      </c>
      <c r="AH104" s="98">
        <f t="shared" si="53"/>
        <v>0</v>
      </c>
      <c r="AI104" s="98">
        <f t="shared" si="58"/>
        <v>0</v>
      </c>
      <c r="AJ104" s="429">
        <f t="shared" si="43"/>
        <v>87021.9</v>
      </c>
      <c r="AK104" s="46"/>
      <c r="AL104" s="46">
        <f t="shared" si="56"/>
        <v>0</v>
      </c>
      <c r="AM104" s="424">
        <f t="shared" si="57"/>
        <v>0</v>
      </c>
    </row>
    <row r="105" spans="1:39">
      <c r="A105" s="263"/>
      <c r="B105" s="263"/>
      <c r="C105" s="304">
        <f>881177.57-73768</f>
        <v>807409.57</v>
      </c>
      <c r="D105" s="294">
        <f>1502575.02-417416</f>
        <v>1085159.02</v>
      </c>
      <c r="E105" s="326" t="s">
        <v>72</v>
      </c>
      <c r="F105" s="327"/>
      <c r="G105" s="325">
        <f>105039.28-36857</f>
        <v>68182.28</v>
      </c>
      <c r="H105" s="325">
        <f>225004.92-66400</f>
        <v>158604.92000000001</v>
      </c>
      <c r="I105" s="325">
        <f>223204.47-70475</f>
        <v>152729.47</v>
      </c>
      <c r="J105" s="325">
        <f>150161.55-61534</f>
        <v>88627.549999999988</v>
      </c>
      <c r="K105" s="325">
        <f>191771.52-37421</f>
        <v>154350.51999999999</v>
      </c>
      <c r="L105" s="325">
        <f>296113.61-122394</f>
        <v>173719.61</v>
      </c>
      <c r="M105" s="325">
        <f>143295.54-49633</f>
        <v>93662.540000000008</v>
      </c>
      <c r="N105" s="325">
        <f>159985.34-45996</f>
        <v>113989.34</v>
      </c>
      <c r="O105" s="325">
        <f>291348.34-197093</f>
        <v>94255.340000000026</v>
      </c>
      <c r="P105" s="325">
        <f>346367.31-248587</f>
        <v>97780.31</v>
      </c>
      <c r="Q105" s="325">
        <f>345684.14-231294</f>
        <v>114390.14000000001</v>
      </c>
      <c r="R105" s="294">
        <v>113569</v>
      </c>
      <c r="S105" s="325"/>
      <c r="T105" s="294">
        <f t="shared" si="40"/>
        <v>1423861.02</v>
      </c>
      <c r="U105" s="304">
        <v>1018718.66</v>
      </c>
      <c r="V105" s="297">
        <f t="shared" si="41"/>
        <v>405142.36</v>
      </c>
      <c r="X105" s="98">
        <f t="shared" si="63"/>
        <v>71591.394</v>
      </c>
      <c r="Y105" s="98">
        <f t="shared" si="63"/>
        <v>166535.16600000003</v>
      </c>
      <c r="Z105" s="98">
        <f t="shared" si="45"/>
        <v>160365.94349999999</v>
      </c>
      <c r="AA105" s="98">
        <f t="shared" si="46"/>
        <v>93058.927499999991</v>
      </c>
      <c r="AB105" s="98">
        <f t="shared" si="47"/>
        <v>162068.046</v>
      </c>
      <c r="AC105" s="98">
        <f t="shared" si="48"/>
        <v>182405.59049999999</v>
      </c>
      <c r="AD105" s="98">
        <f t="shared" si="49"/>
        <v>98345.667000000016</v>
      </c>
      <c r="AE105" s="98">
        <f t="shared" si="50"/>
        <v>119688.807</v>
      </c>
      <c r="AF105" s="98">
        <f t="shared" si="51"/>
        <v>98968.107000000033</v>
      </c>
      <c r="AG105" s="98">
        <f t="shared" si="52"/>
        <v>102669.32549999999</v>
      </c>
      <c r="AH105" s="98">
        <f t="shared" si="53"/>
        <v>120109.64700000001</v>
      </c>
      <c r="AI105" s="98">
        <f t="shared" si="58"/>
        <v>119247.32977500001</v>
      </c>
      <c r="AJ105" s="429">
        <f t="shared" si="43"/>
        <v>1495053.950775</v>
      </c>
      <c r="AK105" s="46">
        <v>113568.8855</v>
      </c>
      <c r="AL105" s="46">
        <f t="shared" si="56"/>
        <v>5678.4442750000007</v>
      </c>
      <c r="AM105" s="424">
        <f t="shared" si="57"/>
        <v>119247.32977500001</v>
      </c>
    </row>
    <row r="106" spans="1:39">
      <c r="A106" s="263"/>
      <c r="B106" s="263"/>
      <c r="C106" s="304"/>
      <c r="D106" s="325">
        <v>164115.6</v>
      </c>
      <c r="E106" s="337" t="s">
        <v>60</v>
      </c>
      <c r="F106" s="338"/>
      <c r="G106" s="304">
        <v>35930</v>
      </c>
      <c r="H106" s="304">
        <v>30200</v>
      </c>
      <c r="I106" s="304"/>
      <c r="J106" s="304"/>
      <c r="K106" s="304"/>
      <c r="L106" s="304"/>
      <c r="M106" s="304"/>
      <c r="N106" s="304"/>
      <c r="O106" s="304"/>
      <c r="P106" s="304">
        <v>47005.86</v>
      </c>
      <c r="Q106" s="304">
        <v>36050</v>
      </c>
      <c r="R106" s="294">
        <v>65555</v>
      </c>
      <c r="S106" s="325"/>
      <c r="T106" s="294">
        <f t="shared" si="40"/>
        <v>214740.86</v>
      </c>
      <c r="U106" s="304">
        <v>149104.20000000001</v>
      </c>
      <c r="V106" s="297">
        <f t="shared" si="41"/>
        <v>65636.659999999974</v>
      </c>
      <c r="X106" s="431">
        <f t="shared" si="63"/>
        <v>37726.5</v>
      </c>
      <c r="Y106" s="431">
        <f t="shared" si="63"/>
        <v>31710</v>
      </c>
      <c r="Z106" s="431">
        <f t="shared" si="45"/>
        <v>0</v>
      </c>
      <c r="AA106" s="431">
        <f t="shared" si="46"/>
        <v>0</v>
      </c>
      <c r="AB106" s="431">
        <f t="shared" si="47"/>
        <v>0</v>
      </c>
      <c r="AC106" s="431">
        <f t="shared" si="48"/>
        <v>0</v>
      </c>
      <c r="AD106" s="431">
        <f t="shared" si="49"/>
        <v>0</v>
      </c>
      <c r="AE106" s="431">
        <f t="shared" si="50"/>
        <v>0</v>
      </c>
      <c r="AF106" s="431">
        <f t="shared" si="51"/>
        <v>0</v>
      </c>
      <c r="AG106" s="431">
        <f t="shared" si="52"/>
        <v>49356.152999999998</v>
      </c>
      <c r="AH106" s="431">
        <f t="shared" si="53"/>
        <v>37852.5</v>
      </c>
      <c r="AI106" s="98">
        <f t="shared" si="58"/>
        <v>68832.382499999992</v>
      </c>
      <c r="AJ106" s="432">
        <f t="shared" si="43"/>
        <v>225477.5355</v>
      </c>
      <c r="AK106" s="46">
        <v>65554.649999999994</v>
      </c>
      <c r="AL106" s="46">
        <f t="shared" si="56"/>
        <v>3277.7325000000001</v>
      </c>
      <c r="AM106" s="424">
        <f t="shared" si="57"/>
        <v>68832.382499999992</v>
      </c>
    </row>
    <row r="107" spans="1:39" ht="15">
      <c r="A107" s="263"/>
      <c r="B107" s="263"/>
      <c r="C107" s="311">
        <f>SUM(C63:C106)</f>
        <v>10041655.905999998</v>
      </c>
      <c r="D107" s="311">
        <f>SUM(D63:D106)</f>
        <v>11990478.950000001</v>
      </c>
      <c r="E107" s="339" t="s">
        <v>98</v>
      </c>
      <c r="F107" s="340"/>
      <c r="G107" s="311">
        <f t="shared" ref="G107:AJ107" si="64">SUM(G63:G106)</f>
        <v>895937.43000000017</v>
      </c>
      <c r="H107" s="311">
        <f t="shared" si="64"/>
        <v>899159.19000000006</v>
      </c>
      <c r="I107" s="311">
        <f t="shared" si="64"/>
        <v>1097633.8660000002</v>
      </c>
      <c r="J107" s="311">
        <f t="shared" si="64"/>
        <v>857994.56999999983</v>
      </c>
      <c r="K107" s="311">
        <f t="shared" si="64"/>
        <v>982986.46</v>
      </c>
      <c r="L107" s="311">
        <f t="shared" si="64"/>
        <v>1295765.5399999996</v>
      </c>
      <c r="M107" s="311">
        <f t="shared" si="64"/>
        <v>1056663.8699999999</v>
      </c>
      <c r="N107" s="311">
        <f t="shared" si="64"/>
        <v>886772.60000000009</v>
      </c>
      <c r="O107" s="311">
        <f t="shared" si="64"/>
        <v>1143300.2699999998</v>
      </c>
      <c r="P107" s="311">
        <f t="shared" si="64"/>
        <v>1206675.5200000003</v>
      </c>
      <c r="Q107" s="311">
        <f t="shared" si="64"/>
        <v>1241835.7699999996</v>
      </c>
      <c r="R107" s="311">
        <f t="shared" si="64"/>
        <v>1624685</v>
      </c>
      <c r="S107" s="311">
        <f t="shared" si="64"/>
        <v>0</v>
      </c>
      <c r="T107" s="311">
        <f t="shared" si="64"/>
        <v>13189410.085999999</v>
      </c>
      <c r="U107" s="311">
        <f t="shared" si="64"/>
        <v>11009616.140000001</v>
      </c>
      <c r="V107" s="311">
        <f t="shared" si="64"/>
        <v>2096915.9460000007</v>
      </c>
      <c r="X107" s="311">
        <f t="shared" si="64"/>
        <v>1012289.102</v>
      </c>
      <c r="Y107" s="311">
        <f t="shared" si="64"/>
        <v>986395.34349999996</v>
      </c>
      <c r="Z107" s="311">
        <f t="shared" si="64"/>
        <v>1155572.3007999999</v>
      </c>
      <c r="AA107" s="311">
        <f t="shared" si="64"/>
        <v>944330.82649999985</v>
      </c>
      <c r="AB107" s="311">
        <f t="shared" si="64"/>
        <v>1108263.2630000003</v>
      </c>
      <c r="AC107" s="311">
        <f t="shared" si="64"/>
        <v>1381179.3789999997</v>
      </c>
      <c r="AD107" s="311">
        <f t="shared" si="64"/>
        <v>1107713.3674999999</v>
      </c>
      <c r="AE107" s="311">
        <f t="shared" si="64"/>
        <v>998992.94299999997</v>
      </c>
      <c r="AF107" s="311">
        <f t="shared" si="64"/>
        <v>1166984.1459999999</v>
      </c>
      <c r="AG107" s="311">
        <f t="shared" si="64"/>
        <v>1369233.2054999997</v>
      </c>
      <c r="AH107" s="311">
        <f t="shared" si="64"/>
        <v>1329257.4245</v>
      </c>
      <c r="AI107" s="311">
        <f t="shared" si="64"/>
        <v>1799701.1969250001</v>
      </c>
      <c r="AJ107" s="311">
        <f t="shared" si="64"/>
        <v>14359912.49822499</v>
      </c>
      <c r="AK107" s="46"/>
    </row>
    <row r="108" spans="1:39" ht="15">
      <c r="A108" s="263"/>
      <c r="B108" s="263"/>
      <c r="C108" s="265"/>
      <c r="D108" s="341"/>
      <c r="E108" s="342"/>
      <c r="F108" s="342"/>
      <c r="G108" s="342"/>
      <c r="H108" s="343"/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1">
        <f>+T105+T150</f>
        <v>2839248.2952000001</v>
      </c>
      <c r="V108" s="318"/>
      <c r="X108" s="263"/>
      <c r="Y108" s="263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46"/>
      <c r="AK108" s="46"/>
    </row>
    <row r="109" spans="1:39" ht="15">
      <c r="A109" s="263"/>
      <c r="B109" s="263"/>
      <c r="C109" s="265"/>
      <c r="D109" s="344"/>
      <c r="E109" s="345" t="s">
        <v>44</v>
      </c>
      <c r="F109" s="263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4"/>
      <c r="V109" s="318"/>
      <c r="X109" s="345"/>
      <c r="Y109" s="345"/>
      <c r="Z109" s="345"/>
      <c r="AA109" s="345"/>
      <c r="AB109" s="345"/>
      <c r="AC109" s="345"/>
      <c r="AD109" s="345"/>
      <c r="AE109" s="345"/>
      <c r="AF109" s="345"/>
      <c r="AG109" s="345"/>
      <c r="AH109" s="345"/>
      <c r="AI109" s="345"/>
      <c r="AJ109" s="345"/>
      <c r="AK109" s="344"/>
      <c r="AL109" s="265"/>
      <c r="AM109" s="318"/>
    </row>
    <row r="110" spans="1:39">
      <c r="A110" s="263"/>
      <c r="B110" s="263"/>
      <c r="C110" s="319">
        <v>530680.06000000006</v>
      </c>
      <c r="D110" s="346">
        <v>582915.06999999995</v>
      </c>
      <c r="E110" s="347" t="s">
        <v>1</v>
      </c>
      <c r="F110" s="348"/>
      <c r="G110" s="323">
        <v>170296.92</v>
      </c>
      <c r="H110" s="320">
        <v>365830.1</v>
      </c>
      <c r="I110" s="349">
        <v>171515.22</v>
      </c>
      <c r="J110" s="349">
        <v>23076.92</v>
      </c>
      <c r="K110" s="349">
        <v>23076.92</v>
      </c>
      <c r="L110" s="349">
        <v>29364.45</v>
      </c>
      <c r="M110" s="349">
        <v>130368.72</v>
      </c>
      <c r="N110" s="349">
        <v>89685.07</v>
      </c>
      <c r="O110" s="349">
        <v>32237.07</v>
      </c>
      <c r="P110" s="349">
        <v>40185.919999999998</v>
      </c>
      <c r="Q110" s="349">
        <v>134912.78</v>
      </c>
      <c r="R110" s="346">
        <v>83333</v>
      </c>
      <c r="S110" s="320"/>
      <c r="T110" s="346">
        <f t="shared" ref="T110:T115" si="65">SUM(G110:R110)+S110</f>
        <v>1293883.0900000001</v>
      </c>
      <c r="U110" s="319">
        <v>916666.67</v>
      </c>
      <c r="V110" s="324">
        <f t="shared" ref="V110:V118" si="66">+T110-U110</f>
        <v>377216.42000000004</v>
      </c>
      <c r="X110" s="323">
        <f>300000/12</f>
        <v>25000</v>
      </c>
      <c r="Y110" s="323">
        <f t="shared" ref="Y110:AI110" si="67">300000/12</f>
        <v>25000</v>
      </c>
      <c r="Z110" s="323">
        <f t="shared" si="67"/>
        <v>25000</v>
      </c>
      <c r="AA110" s="323">
        <f t="shared" si="67"/>
        <v>25000</v>
      </c>
      <c r="AB110" s="323">
        <f t="shared" si="67"/>
        <v>25000</v>
      </c>
      <c r="AC110" s="323">
        <f t="shared" si="67"/>
        <v>25000</v>
      </c>
      <c r="AD110" s="323">
        <f t="shared" si="67"/>
        <v>25000</v>
      </c>
      <c r="AE110" s="323">
        <f t="shared" si="67"/>
        <v>25000</v>
      </c>
      <c r="AF110" s="323">
        <f t="shared" si="67"/>
        <v>25000</v>
      </c>
      <c r="AG110" s="323">
        <f t="shared" si="67"/>
        <v>25000</v>
      </c>
      <c r="AH110" s="323">
        <f t="shared" si="67"/>
        <v>25000</v>
      </c>
      <c r="AI110" s="323">
        <f t="shared" si="67"/>
        <v>25000</v>
      </c>
      <c r="AJ110" s="435">
        <f t="shared" ref="AJ110:AJ117" si="68">SUM(X110:AI110)</f>
        <v>300000</v>
      </c>
      <c r="AK110" s="368"/>
      <c r="AL110" s="401"/>
      <c r="AM110" s="404"/>
    </row>
    <row r="111" spans="1:39">
      <c r="A111" s="263"/>
      <c r="B111" s="263"/>
      <c r="C111" s="304">
        <v>692001.62</v>
      </c>
      <c r="D111" s="294">
        <v>934989.98</v>
      </c>
      <c r="E111" s="326" t="s">
        <v>62</v>
      </c>
      <c r="F111" s="327"/>
      <c r="G111" s="328">
        <v>21413.040000000001</v>
      </c>
      <c r="H111" s="325">
        <v>61180.08</v>
      </c>
      <c r="I111" s="350">
        <v>88908.91</v>
      </c>
      <c r="J111" s="350">
        <v>14832</v>
      </c>
      <c r="K111" s="350">
        <v>529887.97</v>
      </c>
      <c r="L111" s="350">
        <v>84984.14</v>
      </c>
      <c r="M111" s="350">
        <v>57154.77</v>
      </c>
      <c r="N111" s="350">
        <v>591.23</v>
      </c>
      <c r="O111" s="350">
        <v>103990.88</v>
      </c>
      <c r="P111" s="350">
        <v>94599.4</v>
      </c>
      <c r="Q111" s="350">
        <v>55000</v>
      </c>
      <c r="R111" s="294">
        <v>62500</v>
      </c>
      <c r="S111" s="325"/>
      <c r="T111" s="294">
        <f t="shared" si="65"/>
        <v>1175042.42</v>
      </c>
      <c r="U111" s="304">
        <v>687500</v>
      </c>
      <c r="V111" s="297">
        <f t="shared" si="66"/>
        <v>487542.41999999993</v>
      </c>
      <c r="X111" s="328">
        <f>1952000/12</f>
        <v>162666.66666666666</v>
      </c>
      <c r="Y111" s="328">
        <f t="shared" ref="Y111:AI111" si="69">1952000/12</f>
        <v>162666.66666666666</v>
      </c>
      <c r="Z111" s="328">
        <f t="shared" si="69"/>
        <v>162666.66666666666</v>
      </c>
      <c r="AA111" s="328">
        <f t="shared" si="69"/>
        <v>162666.66666666666</v>
      </c>
      <c r="AB111" s="328">
        <f t="shared" si="69"/>
        <v>162666.66666666666</v>
      </c>
      <c r="AC111" s="328">
        <f t="shared" si="69"/>
        <v>162666.66666666666</v>
      </c>
      <c r="AD111" s="328">
        <f t="shared" si="69"/>
        <v>162666.66666666666</v>
      </c>
      <c r="AE111" s="328">
        <f t="shared" si="69"/>
        <v>162666.66666666666</v>
      </c>
      <c r="AF111" s="328">
        <f t="shared" si="69"/>
        <v>162666.66666666666</v>
      </c>
      <c r="AG111" s="328">
        <f t="shared" si="69"/>
        <v>162666.66666666666</v>
      </c>
      <c r="AH111" s="328">
        <f t="shared" si="69"/>
        <v>162666.66666666666</v>
      </c>
      <c r="AI111" s="328">
        <f t="shared" si="69"/>
        <v>162666.66666666666</v>
      </c>
      <c r="AJ111" s="429">
        <f t="shared" si="68"/>
        <v>1952000.0000000002</v>
      </c>
      <c r="AK111" s="368"/>
      <c r="AL111" s="401"/>
      <c r="AM111" s="404"/>
    </row>
    <row r="112" spans="1:39">
      <c r="A112" s="263"/>
      <c r="B112" s="263"/>
      <c r="C112" s="304">
        <v>84370</v>
      </c>
      <c r="D112" s="294">
        <v>207323.8</v>
      </c>
      <c r="E112" s="326" t="s">
        <v>45</v>
      </c>
      <c r="F112" s="327"/>
      <c r="G112" s="328">
        <v>1344.72</v>
      </c>
      <c r="H112" s="325">
        <v>5734.72</v>
      </c>
      <c r="I112" s="350">
        <v>326560.48</v>
      </c>
      <c r="J112" s="350">
        <v>233646.8</v>
      </c>
      <c r="K112" s="350">
        <v>312311.82</v>
      </c>
      <c r="L112" s="350">
        <v>405066.16</v>
      </c>
      <c r="M112" s="350">
        <v>42294.41</v>
      </c>
      <c r="N112" s="350">
        <v>766.16</v>
      </c>
      <c r="O112" s="350">
        <v>1205.56</v>
      </c>
      <c r="P112" s="350">
        <v>9962.84</v>
      </c>
      <c r="Q112" s="350">
        <v>7979.91</v>
      </c>
      <c r="R112" s="294">
        <v>60833</v>
      </c>
      <c r="S112" s="325"/>
      <c r="T112" s="294">
        <f t="shared" si="65"/>
        <v>1407706.5799999998</v>
      </c>
      <c r="U112" s="304">
        <v>669166.67000000004</v>
      </c>
      <c r="V112" s="297">
        <f t="shared" si="66"/>
        <v>738539.9099999998</v>
      </c>
      <c r="X112" s="328">
        <f>1035137/12</f>
        <v>86261.416666666672</v>
      </c>
      <c r="Y112" s="328">
        <f t="shared" ref="Y112:AI112" si="70">1035137/12</f>
        <v>86261.416666666672</v>
      </c>
      <c r="Z112" s="328">
        <f t="shared" si="70"/>
        <v>86261.416666666672</v>
      </c>
      <c r="AA112" s="328">
        <f t="shared" si="70"/>
        <v>86261.416666666672</v>
      </c>
      <c r="AB112" s="328">
        <f t="shared" si="70"/>
        <v>86261.416666666672</v>
      </c>
      <c r="AC112" s="328">
        <f t="shared" si="70"/>
        <v>86261.416666666672</v>
      </c>
      <c r="AD112" s="328">
        <f t="shared" si="70"/>
        <v>86261.416666666672</v>
      </c>
      <c r="AE112" s="328">
        <f t="shared" si="70"/>
        <v>86261.416666666672</v>
      </c>
      <c r="AF112" s="328">
        <f t="shared" si="70"/>
        <v>86261.416666666672</v>
      </c>
      <c r="AG112" s="328">
        <f t="shared" si="70"/>
        <v>86261.416666666672</v>
      </c>
      <c r="AH112" s="328">
        <f t="shared" si="70"/>
        <v>86261.416666666672</v>
      </c>
      <c r="AI112" s="328">
        <f t="shared" si="70"/>
        <v>86261.416666666672</v>
      </c>
      <c r="AJ112" s="429">
        <f t="shared" si="68"/>
        <v>1035136.9999999999</v>
      </c>
      <c r="AK112" s="368"/>
      <c r="AL112" s="401"/>
      <c r="AM112" s="404"/>
    </row>
    <row r="113" spans="1:39">
      <c r="A113" s="263"/>
      <c r="B113" s="263"/>
      <c r="C113" s="304">
        <v>2957.9</v>
      </c>
      <c r="D113" s="294">
        <v>3564.32</v>
      </c>
      <c r="E113" s="326" t="s">
        <v>46</v>
      </c>
      <c r="F113" s="327"/>
      <c r="G113" s="328"/>
      <c r="H113" s="325">
        <v>525.48</v>
      </c>
      <c r="I113" s="350"/>
      <c r="J113" s="350"/>
      <c r="K113" s="350"/>
      <c r="L113" s="350"/>
      <c r="M113" s="350"/>
      <c r="N113" s="350"/>
      <c r="O113" s="350">
        <v>18.7</v>
      </c>
      <c r="P113" s="350"/>
      <c r="Q113" s="350"/>
      <c r="R113" s="294">
        <v>4167</v>
      </c>
      <c r="S113" s="325"/>
      <c r="T113" s="294">
        <f t="shared" si="65"/>
        <v>4711.18</v>
      </c>
      <c r="U113" s="304">
        <v>45833.33</v>
      </c>
      <c r="V113" s="297">
        <f t="shared" si="66"/>
        <v>-41122.15</v>
      </c>
      <c r="X113" s="328"/>
      <c r="Y113" s="328"/>
      <c r="Z113" s="328"/>
      <c r="AA113" s="328"/>
      <c r="AB113" s="328"/>
      <c r="AC113" s="328"/>
      <c r="AD113" s="328"/>
      <c r="AE113" s="328"/>
      <c r="AF113" s="328"/>
      <c r="AG113" s="328"/>
      <c r="AH113" s="328"/>
      <c r="AI113" s="328"/>
      <c r="AJ113" s="429">
        <f t="shared" si="68"/>
        <v>0</v>
      </c>
      <c r="AK113" s="368"/>
      <c r="AL113" s="401"/>
      <c r="AM113" s="404"/>
    </row>
    <row r="114" spans="1:39">
      <c r="A114" s="263"/>
      <c r="B114" s="263"/>
      <c r="C114" s="304">
        <v>355240.39000000007</v>
      </c>
      <c r="D114" s="294">
        <v>602300.7699999999</v>
      </c>
      <c r="E114" s="326" t="s">
        <v>76</v>
      </c>
      <c r="F114" s="327"/>
      <c r="G114" s="328">
        <v>118737.93</v>
      </c>
      <c r="H114" s="325">
        <v>307629.06</v>
      </c>
      <c r="I114" s="350">
        <v>96351.8</v>
      </c>
      <c r="J114" s="350">
        <v>35905.160000000003</v>
      </c>
      <c r="K114" s="350">
        <v>20407.490000000002</v>
      </c>
      <c r="L114" s="350"/>
      <c r="M114" s="350">
        <f>12500.2+8000</f>
        <v>20500.2</v>
      </c>
      <c r="N114" s="350">
        <v>307892.44</v>
      </c>
      <c r="O114" s="350">
        <v>31377.32</v>
      </c>
      <c r="P114" s="350"/>
      <c r="Q114" s="350"/>
      <c r="R114" s="294">
        <v>50000</v>
      </c>
      <c r="S114" s="325"/>
      <c r="T114" s="294">
        <f t="shared" si="65"/>
        <v>988801.39999999979</v>
      </c>
      <c r="U114" s="304">
        <v>550000</v>
      </c>
      <c r="V114" s="297">
        <f t="shared" si="66"/>
        <v>438801.39999999979</v>
      </c>
      <c r="X114" s="328"/>
      <c r="Y114" s="328"/>
      <c r="Z114" s="328"/>
      <c r="AA114" s="328"/>
      <c r="AB114" s="328"/>
      <c r="AC114" s="328"/>
      <c r="AD114" s="328"/>
      <c r="AE114" s="328"/>
      <c r="AF114" s="328"/>
      <c r="AG114" s="328"/>
      <c r="AH114" s="328"/>
      <c r="AI114" s="328"/>
      <c r="AJ114" s="429">
        <f t="shared" si="68"/>
        <v>0</v>
      </c>
      <c r="AK114" s="368"/>
      <c r="AL114" s="401"/>
      <c r="AM114" s="404"/>
    </row>
    <row r="115" spans="1:39">
      <c r="A115" s="263"/>
      <c r="B115" s="263"/>
      <c r="C115" s="304">
        <v>258875.74</v>
      </c>
      <c r="D115" s="294">
        <v>447190.06000000006</v>
      </c>
      <c r="E115" s="326" t="s">
        <v>63</v>
      </c>
      <c r="F115" s="327"/>
      <c r="G115" s="328">
        <v>14681.76</v>
      </c>
      <c r="H115" s="325">
        <v>37913.160000000003</v>
      </c>
      <c r="I115" s="325">
        <v>63377.73</v>
      </c>
      <c r="J115" s="325">
        <v>28613.439999999999</v>
      </c>
      <c r="K115" s="325">
        <v>40256.239999999998</v>
      </c>
      <c r="L115" s="325">
        <v>77217.03</v>
      </c>
      <c r="M115" s="325">
        <v>66930.320000000007</v>
      </c>
      <c r="N115" s="325">
        <v>66339.05</v>
      </c>
      <c r="O115" s="325">
        <v>74253.66</v>
      </c>
      <c r="P115" s="325">
        <v>49174.12</v>
      </c>
      <c r="Q115" s="325">
        <v>45234.01</v>
      </c>
      <c r="R115" s="294">
        <v>45833</v>
      </c>
      <c r="S115" s="325"/>
      <c r="T115" s="294">
        <f t="shared" si="65"/>
        <v>609823.52</v>
      </c>
      <c r="U115" s="304">
        <v>504166.67</v>
      </c>
      <c r="V115" s="297">
        <f t="shared" si="66"/>
        <v>105656.85000000003</v>
      </c>
      <c r="X115" s="328">
        <f>519000/12</f>
        <v>43250</v>
      </c>
      <c r="Y115" s="328">
        <f t="shared" ref="Y115:AI115" si="71">519000/12</f>
        <v>43250</v>
      </c>
      <c r="Z115" s="328">
        <f t="shared" si="71"/>
        <v>43250</v>
      </c>
      <c r="AA115" s="328">
        <f t="shared" si="71"/>
        <v>43250</v>
      </c>
      <c r="AB115" s="328">
        <f t="shared" si="71"/>
        <v>43250</v>
      </c>
      <c r="AC115" s="328">
        <f t="shared" si="71"/>
        <v>43250</v>
      </c>
      <c r="AD115" s="328">
        <f t="shared" si="71"/>
        <v>43250</v>
      </c>
      <c r="AE115" s="328">
        <f t="shared" si="71"/>
        <v>43250</v>
      </c>
      <c r="AF115" s="328">
        <f t="shared" si="71"/>
        <v>43250</v>
      </c>
      <c r="AG115" s="328">
        <f t="shared" si="71"/>
        <v>43250</v>
      </c>
      <c r="AH115" s="328">
        <f t="shared" si="71"/>
        <v>43250</v>
      </c>
      <c r="AI115" s="328">
        <f t="shared" si="71"/>
        <v>43250</v>
      </c>
      <c r="AJ115" s="429">
        <f t="shared" si="68"/>
        <v>519000</v>
      </c>
      <c r="AK115" s="368"/>
      <c r="AL115" s="401"/>
      <c r="AM115" s="404"/>
    </row>
    <row r="116" spans="1:39">
      <c r="A116" s="263"/>
      <c r="B116" s="263"/>
      <c r="C116" s="304"/>
      <c r="D116" s="294"/>
      <c r="E116" s="326" t="s">
        <v>338</v>
      </c>
      <c r="F116" s="327"/>
      <c r="G116" s="328"/>
      <c r="H116" s="325"/>
      <c r="I116" s="325"/>
      <c r="J116" s="325"/>
      <c r="K116" s="325"/>
      <c r="L116" s="325"/>
      <c r="M116" s="325"/>
      <c r="N116" s="325"/>
      <c r="O116" s="325"/>
      <c r="P116" s="325"/>
      <c r="Q116" s="325"/>
      <c r="R116" s="294"/>
      <c r="S116" s="325"/>
      <c r="T116" s="294"/>
      <c r="U116" s="304"/>
      <c r="V116" s="297"/>
      <c r="X116" s="328">
        <f>418000/12</f>
        <v>34833.333333333336</v>
      </c>
      <c r="Y116" s="328">
        <f t="shared" ref="Y116:AI116" si="72">418000/12</f>
        <v>34833.333333333336</v>
      </c>
      <c r="Z116" s="328">
        <f t="shared" si="72"/>
        <v>34833.333333333336</v>
      </c>
      <c r="AA116" s="328">
        <f t="shared" si="72"/>
        <v>34833.333333333336</v>
      </c>
      <c r="AB116" s="328">
        <f t="shared" si="72"/>
        <v>34833.333333333336</v>
      </c>
      <c r="AC116" s="328">
        <f t="shared" si="72"/>
        <v>34833.333333333336</v>
      </c>
      <c r="AD116" s="328">
        <f t="shared" si="72"/>
        <v>34833.333333333336</v>
      </c>
      <c r="AE116" s="328">
        <f t="shared" si="72"/>
        <v>34833.333333333336</v>
      </c>
      <c r="AF116" s="328">
        <f t="shared" si="72"/>
        <v>34833.333333333336</v>
      </c>
      <c r="AG116" s="328">
        <f t="shared" si="72"/>
        <v>34833.333333333336</v>
      </c>
      <c r="AH116" s="328">
        <f t="shared" si="72"/>
        <v>34833.333333333336</v>
      </c>
      <c r="AI116" s="328">
        <f t="shared" si="72"/>
        <v>34833.333333333336</v>
      </c>
      <c r="AJ116" s="429">
        <f t="shared" si="68"/>
        <v>417999.99999999994</v>
      </c>
      <c r="AK116" s="368"/>
      <c r="AL116" s="401"/>
      <c r="AM116" s="404"/>
    </row>
    <row r="117" spans="1:39">
      <c r="A117" s="263"/>
      <c r="B117" s="263"/>
      <c r="C117" s="304"/>
      <c r="D117" s="294">
        <v>27760.050000000003</v>
      </c>
      <c r="E117" s="337" t="s">
        <v>83</v>
      </c>
      <c r="F117" s="338"/>
      <c r="G117" s="328">
        <v>3698.1</v>
      </c>
      <c r="H117" s="325">
        <v>4095.52</v>
      </c>
      <c r="I117" s="325">
        <v>4171.0600000000004</v>
      </c>
      <c r="J117" s="325">
        <v>4550</v>
      </c>
      <c r="K117" s="325">
        <v>3247.05</v>
      </c>
      <c r="L117" s="325">
        <v>2230.6</v>
      </c>
      <c r="M117" s="325">
        <v>1367.97</v>
      </c>
      <c r="N117" s="325">
        <v>1518.21</v>
      </c>
      <c r="O117" s="325">
        <v>1109.8</v>
      </c>
      <c r="P117" s="325">
        <v>1109.8</v>
      </c>
      <c r="Q117" s="325">
        <v>1122.54</v>
      </c>
      <c r="R117" s="325"/>
      <c r="S117" s="351"/>
      <c r="T117" s="309">
        <f>SUM(G117:R117)+S117</f>
        <v>28220.649999999998</v>
      </c>
      <c r="U117" s="304"/>
      <c r="V117" s="297">
        <f t="shared" si="66"/>
        <v>28220.649999999998</v>
      </c>
      <c r="X117" s="328"/>
      <c r="Y117" s="325"/>
      <c r="Z117" s="325"/>
      <c r="AA117" s="325"/>
      <c r="AB117" s="325"/>
      <c r="AC117" s="325"/>
      <c r="AD117" s="325"/>
      <c r="AE117" s="325"/>
      <c r="AF117" s="325"/>
      <c r="AG117" s="325"/>
      <c r="AH117" s="325"/>
      <c r="AI117" s="325"/>
      <c r="AJ117" s="432">
        <f t="shared" si="68"/>
        <v>0</v>
      </c>
      <c r="AK117" s="368"/>
      <c r="AL117" s="401"/>
      <c r="AM117" s="404"/>
    </row>
    <row r="118" spans="1:39" ht="15">
      <c r="A118" s="263"/>
      <c r="B118" s="263"/>
      <c r="C118" s="352">
        <v>2539667.09</v>
      </c>
      <c r="D118" s="352">
        <f>SUM(D110:D117)</f>
        <v>2806044.05</v>
      </c>
      <c r="E118" s="339" t="s">
        <v>99</v>
      </c>
      <c r="F118" s="340"/>
      <c r="G118" s="352">
        <f t="shared" ref="G118:U118" si="73">SUM(G110:G117)</f>
        <v>330172.46999999997</v>
      </c>
      <c r="H118" s="352">
        <f t="shared" si="73"/>
        <v>782908.12</v>
      </c>
      <c r="I118" s="352">
        <f t="shared" si="73"/>
        <v>750885.20000000007</v>
      </c>
      <c r="J118" s="352">
        <f t="shared" si="73"/>
        <v>340624.32</v>
      </c>
      <c r="K118" s="352">
        <f t="shared" si="73"/>
        <v>929187.49</v>
      </c>
      <c r="L118" s="352">
        <f t="shared" si="73"/>
        <v>598862.38</v>
      </c>
      <c r="M118" s="352">
        <f t="shared" si="73"/>
        <v>318616.39</v>
      </c>
      <c r="N118" s="352">
        <f t="shared" si="73"/>
        <v>466792.16000000003</v>
      </c>
      <c r="O118" s="352">
        <f t="shared" si="73"/>
        <v>244192.99000000002</v>
      </c>
      <c r="P118" s="352">
        <f t="shared" si="73"/>
        <v>195032.08</v>
      </c>
      <c r="Q118" s="352">
        <f t="shared" si="73"/>
        <v>244249.24000000002</v>
      </c>
      <c r="R118" s="352">
        <f t="shared" si="73"/>
        <v>306666</v>
      </c>
      <c r="S118" s="352">
        <f t="shared" si="73"/>
        <v>0</v>
      </c>
      <c r="T118" s="352">
        <f t="shared" si="73"/>
        <v>5508188.8399999999</v>
      </c>
      <c r="U118" s="352">
        <f t="shared" si="73"/>
        <v>3373333.34</v>
      </c>
      <c r="V118" s="311">
        <f t="shared" si="66"/>
        <v>2134855.5</v>
      </c>
      <c r="X118" s="352">
        <f t="shared" ref="X118:AJ118" si="74">SUM(X110:X117)</f>
        <v>352011.41666666663</v>
      </c>
      <c r="Y118" s="352">
        <f t="shared" si="74"/>
        <v>352011.41666666663</v>
      </c>
      <c r="Z118" s="352">
        <f t="shared" si="74"/>
        <v>352011.41666666663</v>
      </c>
      <c r="AA118" s="352">
        <f t="shared" si="74"/>
        <v>352011.41666666663</v>
      </c>
      <c r="AB118" s="352">
        <f t="shared" si="74"/>
        <v>352011.41666666663</v>
      </c>
      <c r="AC118" s="352">
        <f t="shared" si="74"/>
        <v>352011.41666666663</v>
      </c>
      <c r="AD118" s="352">
        <f t="shared" si="74"/>
        <v>352011.41666666663</v>
      </c>
      <c r="AE118" s="352">
        <f t="shared" si="74"/>
        <v>352011.41666666663</v>
      </c>
      <c r="AF118" s="352">
        <f t="shared" si="74"/>
        <v>352011.41666666663</v>
      </c>
      <c r="AG118" s="352">
        <f t="shared" si="74"/>
        <v>352011.41666666663</v>
      </c>
      <c r="AH118" s="352">
        <f t="shared" si="74"/>
        <v>352011.41666666663</v>
      </c>
      <c r="AI118" s="352">
        <f t="shared" si="74"/>
        <v>352011.41666666663</v>
      </c>
      <c r="AJ118" s="352">
        <f t="shared" si="74"/>
        <v>4224137</v>
      </c>
      <c r="AK118" s="368"/>
      <c r="AL118" s="401"/>
      <c r="AM118" s="404"/>
    </row>
    <row r="119" spans="1:39" ht="21.75" customHeight="1">
      <c r="A119" s="263"/>
      <c r="B119" s="263"/>
      <c r="C119" s="353">
        <v>13925299.265999999</v>
      </c>
      <c r="D119" s="354">
        <f>+D59+D107+D118</f>
        <v>15550328.75</v>
      </c>
      <c r="E119" s="355" t="s">
        <v>48</v>
      </c>
      <c r="F119" s="355"/>
      <c r="G119" s="356">
        <f t="shared" ref="G119:V119" si="75">+G59+G107+G118</f>
        <v>1287490.75</v>
      </c>
      <c r="H119" s="356">
        <f t="shared" si="75"/>
        <v>1732840.06</v>
      </c>
      <c r="I119" s="356">
        <f t="shared" si="75"/>
        <v>1911981.5760000004</v>
      </c>
      <c r="J119" s="356">
        <f t="shared" si="75"/>
        <v>1248811.5699999998</v>
      </c>
      <c r="K119" s="356">
        <f t="shared" si="75"/>
        <v>1971138.46</v>
      </c>
      <c r="L119" s="356">
        <f t="shared" si="75"/>
        <v>1945363.5099999998</v>
      </c>
      <c r="M119" s="356">
        <f t="shared" si="75"/>
        <v>1434575.17</v>
      </c>
      <c r="N119" s="356">
        <f t="shared" si="75"/>
        <v>1403810.09</v>
      </c>
      <c r="O119" s="356">
        <f t="shared" si="75"/>
        <v>1455142.7099999997</v>
      </c>
      <c r="P119" s="356">
        <f t="shared" si="75"/>
        <v>1462830.4100000004</v>
      </c>
      <c r="Q119" s="356">
        <f t="shared" si="75"/>
        <v>1545445.5599999996</v>
      </c>
      <c r="R119" s="356">
        <f t="shared" si="75"/>
        <v>2068463</v>
      </c>
      <c r="S119" s="356">
        <f t="shared" si="75"/>
        <v>0</v>
      </c>
      <c r="T119" s="357">
        <f t="shared" si="75"/>
        <v>19467892.865999997</v>
      </c>
      <c r="U119" s="357">
        <f t="shared" si="75"/>
        <v>15065797.530000001</v>
      </c>
      <c r="V119" s="357">
        <f t="shared" si="75"/>
        <v>4319217.3360000011</v>
      </c>
      <c r="X119" s="356">
        <f t="shared" ref="X119:AJ119" si="76">+X59+X107+X118</f>
        <v>1428257.8091666666</v>
      </c>
      <c r="Y119" s="356">
        <f t="shared" si="76"/>
        <v>1391225.5456666667</v>
      </c>
      <c r="Z119" s="356">
        <f t="shared" si="76"/>
        <v>1573726.7509666663</v>
      </c>
      <c r="AA119" s="356">
        <f t="shared" si="76"/>
        <v>1348551.9551666663</v>
      </c>
      <c r="AB119" s="356">
        <f t="shared" si="76"/>
        <v>1521694.8131666668</v>
      </c>
      <c r="AC119" s="356">
        <f t="shared" si="76"/>
        <v>1785970.8151666662</v>
      </c>
      <c r="AD119" s="356">
        <f t="shared" si="76"/>
        <v>1521491.8376666666</v>
      </c>
      <c r="AE119" s="356">
        <f t="shared" si="76"/>
        <v>1403269.3541666665</v>
      </c>
      <c r="AF119" s="356">
        <f t="shared" si="76"/>
        <v>1589534.8831666666</v>
      </c>
      <c r="AG119" s="356">
        <f t="shared" si="76"/>
        <v>1784930.9706666665</v>
      </c>
      <c r="AH119" s="356">
        <f t="shared" si="76"/>
        <v>1743104.8166666664</v>
      </c>
      <c r="AI119" s="356">
        <f t="shared" si="76"/>
        <v>2282036.4435916669</v>
      </c>
      <c r="AJ119" s="356">
        <f t="shared" si="76"/>
        <v>19373795.99522499</v>
      </c>
      <c r="AK119" s="46"/>
    </row>
    <row r="120" spans="1:39" ht="9.75" customHeight="1">
      <c r="A120" s="263"/>
      <c r="B120" s="263"/>
      <c r="C120" s="315"/>
      <c r="D120" s="358"/>
      <c r="E120" s="359"/>
      <c r="F120" s="359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58"/>
      <c r="U120" s="358"/>
      <c r="V120" s="358"/>
      <c r="X120" s="263"/>
      <c r="Y120" s="263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46"/>
      <c r="AK120" s="46"/>
    </row>
    <row r="121" spans="1:39" ht="18.75" customHeight="1">
      <c r="A121" s="263"/>
      <c r="B121" s="263"/>
      <c r="C121" s="360">
        <f>+C41-C119</f>
        <v>-647550.71600000001</v>
      </c>
      <c r="D121" s="361">
        <f>+D41-D119</f>
        <v>4796796.5400000028</v>
      </c>
      <c r="E121" s="362" t="s">
        <v>100</v>
      </c>
      <c r="F121" s="362"/>
      <c r="G121" s="360">
        <f t="shared" ref="G121:V121" si="77">+G41-G119</f>
        <v>-174403.35000000009</v>
      </c>
      <c r="H121" s="360">
        <f t="shared" si="77"/>
        <v>2809750.07</v>
      </c>
      <c r="I121" s="360">
        <f t="shared" si="77"/>
        <v>-754243.32600000035</v>
      </c>
      <c r="J121" s="360">
        <f t="shared" si="77"/>
        <v>-600764.30999999994</v>
      </c>
      <c r="K121" s="360">
        <f t="shared" si="77"/>
        <v>374093.15000000037</v>
      </c>
      <c r="L121" s="360">
        <f t="shared" si="77"/>
        <v>-4193.5099999997765</v>
      </c>
      <c r="M121" s="360">
        <f t="shared" si="77"/>
        <v>852960.76000000024</v>
      </c>
      <c r="N121" s="360">
        <f t="shared" si="77"/>
        <v>163414.80000000005</v>
      </c>
      <c r="O121" s="360">
        <f t="shared" si="77"/>
        <v>1575095.5599999998</v>
      </c>
      <c r="P121" s="360">
        <f t="shared" si="77"/>
        <v>2114668.12</v>
      </c>
      <c r="Q121" s="360">
        <f t="shared" si="77"/>
        <v>1614670.6800000006</v>
      </c>
      <c r="R121" s="360">
        <f t="shared" si="77"/>
        <v>500786</v>
      </c>
      <c r="S121" s="360">
        <f t="shared" si="77"/>
        <v>0</v>
      </c>
      <c r="T121" s="363">
        <f t="shared" si="77"/>
        <v>8471834.6440000013</v>
      </c>
      <c r="U121" s="363">
        <f t="shared" si="77"/>
        <v>25871994.149999999</v>
      </c>
      <c r="V121" s="363">
        <f t="shared" si="77"/>
        <v>-17317281.506000001</v>
      </c>
      <c r="X121" s="360">
        <f t="shared" ref="X121:AJ121" si="78">+X41-X119</f>
        <v>223116.46416666685</v>
      </c>
      <c r="Y121" s="360">
        <f t="shared" si="78"/>
        <v>251618.82766666682</v>
      </c>
      <c r="Z121" s="360">
        <f t="shared" si="78"/>
        <v>64846.432366667083</v>
      </c>
      <c r="AA121" s="360">
        <f t="shared" si="78"/>
        <v>303382.05816666712</v>
      </c>
      <c r="AB121" s="360">
        <f t="shared" si="78"/>
        <v>96812.300166666741</v>
      </c>
      <c r="AC121" s="360">
        <f t="shared" si="78"/>
        <v>-161364.48183333268</v>
      </c>
      <c r="AD121" s="360">
        <f t="shared" si="78"/>
        <v>95482.565666666953</v>
      </c>
      <c r="AE121" s="360">
        <f t="shared" si="78"/>
        <v>227598.999166667</v>
      </c>
      <c r="AF121" s="360">
        <f t="shared" si="78"/>
        <v>23071.21016666689</v>
      </c>
      <c r="AG121" s="360">
        <f t="shared" si="78"/>
        <v>-158402.78733333317</v>
      </c>
      <c r="AH121" s="360">
        <f t="shared" si="78"/>
        <v>-10460.593333333032</v>
      </c>
      <c r="AI121" s="360">
        <f t="shared" si="78"/>
        <v>-655508.26025833352</v>
      </c>
      <c r="AJ121" s="360">
        <f t="shared" si="78"/>
        <v>300192.7347750105</v>
      </c>
      <c r="AK121" s="46"/>
    </row>
    <row r="122" spans="1:39" ht="9.75" customHeight="1">
      <c r="A122" s="263"/>
      <c r="B122" s="263"/>
      <c r="C122" s="315"/>
      <c r="D122" s="358"/>
      <c r="E122" s="359"/>
      <c r="F122" s="359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58"/>
      <c r="U122" s="358"/>
      <c r="V122" s="358"/>
      <c r="X122" s="263"/>
      <c r="Y122" s="263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46"/>
      <c r="AK122" s="46"/>
    </row>
    <row r="123" spans="1:39" ht="18.75" customHeight="1">
      <c r="A123" s="263"/>
      <c r="B123" s="263"/>
      <c r="C123" s="315"/>
      <c r="D123" s="358"/>
      <c r="E123" s="364" t="s">
        <v>318</v>
      </c>
      <c r="F123" s="359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58"/>
      <c r="U123" s="358"/>
      <c r="V123" s="358"/>
      <c r="X123" s="263"/>
      <c r="Y123" s="263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46"/>
      <c r="AK123" s="46"/>
    </row>
    <row r="124" spans="1:39" ht="18.75" customHeight="1">
      <c r="A124" s="263"/>
      <c r="B124" s="263"/>
      <c r="C124" s="365">
        <v>411735.64</v>
      </c>
      <c r="D124" s="346">
        <v>50.8</v>
      </c>
      <c r="E124" s="366" t="s">
        <v>109</v>
      </c>
      <c r="F124" s="367"/>
      <c r="G124" s="346">
        <v>2669.84</v>
      </c>
      <c r="H124" s="346"/>
      <c r="I124" s="346"/>
      <c r="J124" s="346"/>
      <c r="K124" s="346">
        <v>1454.06</v>
      </c>
      <c r="L124" s="346">
        <v>944.55</v>
      </c>
      <c r="M124" s="346">
        <v>1288.94</v>
      </c>
      <c r="N124" s="346">
        <v>2185.0500000000002</v>
      </c>
      <c r="O124" s="346">
        <v>133.19999999999999</v>
      </c>
      <c r="P124" s="346">
        <v>3250.85</v>
      </c>
      <c r="Q124" s="346">
        <v>1891.57</v>
      </c>
      <c r="R124" s="346">
        <v>36929</v>
      </c>
      <c r="S124" s="346"/>
      <c r="T124" s="346">
        <f t="shared" ref="T124:T148" si="79">SUM(G124:S124)</f>
        <v>50747.06</v>
      </c>
      <c r="U124" s="346">
        <v>406215.33</v>
      </c>
      <c r="V124" s="346">
        <f t="shared" ref="V124:V147" si="80">+T124-U124</f>
        <v>-355468.27</v>
      </c>
      <c r="X124" s="433"/>
      <c r="Y124" s="433"/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5">
        <f t="shared" ref="AJ124:AJ148" si="81">SUM(X124:AI124)</f>
        <v>0</v>
      </c>
      <c r="AK124" s="46"/>
    </row>
    <row r="125" spans="1:39" ht="18.75" customHeight="1">
      <c r="A125" s="263"/>
      <c r="B125" s="263"/>
      <c r="C125" s="368"/>
      <c r="D125" s="294"/>
      <c r="E125" s="369" t="s">
        <v>320</v>
      </c>
      <c r="F125" s="370"/>
      <c r="G125" s="294"/>
      <c r="H125" s="294"/>
      <c r="I125" s="294"/>
      <c r="J125" s="294">
        <v>610</v>
      </c>
      <c r="K125" s="294">
        <v>9000</v>
      </c>
      <c r="L125" s="294">
        <v>46058</v>
      </c>
      <c r="M125" s="294">
        <v>77672.81</v>
      </c>
      <c r="N125" s="294">
        <v>14822.59</v>
      </c>
      <c r="O125" s="294">
        <v>67869.47</v>
      </c>
      <c r="P125" s="294">
        <v>2000</v>
      </c>
      <c r="Q125" s="294">
        <v>39000</v>
      </c>
      <c r="R125" s="294"/>
      <c r="S125" s="294"/>
      <c r="T125" s="294">
        <f t="shared" si="79"/>
        <v>257032.87</v>
      </c>
      <c r="U125" s="294"/>
      <c r="V125" s="294">
        <f t="shared" si="80"/>
        <v>257032.87</v>
      </c>
      <c r="X125" s="430"/>
      <c r="Y125" s="430"/>
      <c r="Z125" s="428"/>
      <c r="AA125" s="428"/>
      <c r="AB125" s="428"/>
      <c r="AC125" s="428"/>
      <c r="AD125" s="428"/>
      <c r="AE125" s="428"/>
      <c r="AF125" s="428"/>
      <c r="AG125" s="428"/>
      <c r="AH125" s="428"/>
      <c r="AI125" s="428"/>
      <c r="AJ125" s="429">
        <f t="shared" si="81"/>
        <v>0</v>
      </c>
      <c r="AK125" s="46"/>
    </row>
    <row r="126" spans="1:39" ht="18.75" customHeight="1">
      <c r="A126" s="263"/>
      <c r="B126" s="263"/>
      <c r="C126" s="368"/>
      <c r="D126" s="294"/>
      <c r="E126" s="369" t="s">
        <v>305</v>
      </c>
      <c r="F126" s="370"/>
      <c r="G126" s="294"/>
      <c r="H126" s="294"/>
      <c r="I126" s="294"/>
      <c r="J126" s="294">
        <v>21800.75</v>
      </c>
      <c r="K126" s="294"/>
      <c r="L126" s="294">
        <v>151199.56</v>
      </c>
      <c r="M126" s="294"/>
      <c r="N126" s="294">
        <f>71120+36165.3</f>
        <v>107285.3</v>
      </c>
      <c r="O126" s="294">
        <f>71120+15250</f>
        <v>86370</v>
      </c>
      <c r="P126" s="294">
        <v>139065.03</v>
      </c>
      <c r="Q126" s="294"/>
      <c r="R126" s="294">
        <v>66729</v>
      </c>
      <c r="S126" s="294"/>
      <c r="T126" s="294">
        <f t="shared" si="79"/>
        <v>572449.64</v>
      </c>
      <c r="U126" s="294">
        <v>734020.83</v>
      </c>
      <c r="V126" s="294">
        <f t="shared" si="80"/>
        <v>-161571.18999999994</v>
      </c>
      <c r="X126" s="430"/>
      <c r="Y126" s="430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9">
        <f t="shared" si="81"/>
        <v>0</v>
      </c>
      <c r="AK126" s="46"/>
    </row>
    <row r="127" spans="1:39" ht="18.75" customHeight="1">
      <c r="A127" s="263"/>
      <c r="B127" s="263"/>
      <c r="C127" s="368"/>
      <c r="D127" s="294"/>
      <c r="E127" s="369" t="s">
        <v>144</v>
      </c>
      <c r="F127" s="370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>
        <v>159419</v>
      </c>
      <c r="S127" s="294"/>
      <c r="T127" s="294">
        <f t="shared" si="79"/>
        <v>159419</v>
      </c>
      <c r="U127" s="294">
        <v>1753607.17</v>
      </c>
      <c r="V127" s="294">
        <f t="shared" si="80"/>
        <v>-1594188.17</v>
      </c>
      <c r="X127" s="430"/>
      <c r="Y127" s="430"/>
      <c r="Z127" s="428"/>
      <c r="AA127" s="428"/>
      <c r="AB127" s="428"/>
      <c r="AC127" s="428"/>
      <c r="AD127" s="428"/>
      <c r="AE127" s="428"/>
      <c r="AF127" s="428"/>
      <c r="AG127" s="428"/>
      <c r="AH127" s="428"/>
      <c r="AI127" s="428"/>
      <c r="AJ127" s="429">
        <f t="shared" si="81"/>
        <v>0</v>
      </c>
      <c r="AK127" s="46"/>
    </row>
    <row r="128" spans="1:39" ht="18.75" customHeight="1">
      <c r="A128" s="263"/>
      <c r="B128" s="263"/>
      <c r="C128" s="368"/>
      <c r="D128" s="294"/>
      <c r="E128" s="369" t="s">
        <v>306</v>
      </c>
      <c r="F128" s="370"/>
      <c r="G128" s="294"/>
      <c r="H128" s="294">
        <v>4400</v>
      </c>
      <c r="I128" s="294"/>
      <c r="J128" s="294">
        <v>25283.78</v>
      </c>
      <c r="K128" s="294">
        <v>25283.78</v>
      </c>
      <c r="L128" s="294">
        <v>33711.699999999997</v>
      </c>
      <c r="M128" s="294">
        <v>9106.75</v>
      </c>
      <c r="N128" s="294"/>
      <c r="O128" s="294"/>
      <c r="P128" s="294">
        <v>25972</v>
      </c>
      <c r="Q128" s="294">
        <v>32053.22</v>
      </c>
      <c r="R128" s="294">
        <v>36240</v>
      </c>
      <c r="S128" s="294"/>
      <c r="T128" s="294">
        <f t="shared" si="79"/>
        <v>192051.22999999998</v>
      </c>
      <c r="U128" s="294">
        <v>398644.58</v>
      </c>
      <c r="V128" s="294">
        <f t="shared" si="80"/>
        <v>-206593.35000000003</v>
      </c>
      <c r="X128" s="430"/>
      <c r="Y128" s="430"/>
      <c r="Z128" s="428"/>
      <c r="AA128" s="428"/>
      <c r="AB128" s="428"/>
      <c r="AC128" s="428"/>
      <c r="AD128" s="428"/>
      <c r="AE128" s="428"/>
      <c r="AF128" s="428"/>
      <c r="AG128" s="428"/>
      <c r="AH128" s="428"/>
      <c r="AI128" s="428"/>
      <c r="AJ128" s="429">
        <f t="shared" si="81"/>
        <v>0</v>
      </c>
      <c r="AK128" s="46"/>
    </row>
    <row r="129" spans="1:37" ht="18.75" customHeight="1">
      <c r="A129" s="263"/>
      <c r="B129" s="263"/>
      <c r="C129" s="368">
        <v>49316.99</v>
      </c>
      <c r="D129" s="294">
        <v>2562508.9000000004</v>
      </c>
      <c r="E129" s="369" t="s">
        <v>105</v>
      </c>
      <c r="F129" s="370"/>
      <c r="G129" s="294">
        <v>213133.83</v>
      </c>
      <c r="H129" s="294">
        <v>209630.46</v>
      </c>
      <c r="I129" s="294">
        <v>268710.82</v>
      </c>
      <c r="J129" s="294">
        <f>87995.1</f>
        <v>87995.1</v>
      </c>
      <c r="K129" s="294">
        <v>98093.24</v>
      </c>
      <c r="L129" s="294">
        <v>102372.44</v>
      </c>
      <c r="M129" s="294">
        <v>145916.45000000001</v>
      </c>
      <c r="N129" s="294">
        <v>75662.62</v>
      </c>
      <c r="O129" s="294">
        <v>113624.09</v>
      </c>
      <c r="P129" s="294">
        <v>132959.54</v>
      </c>
      <c r="Q129" s="294">
        <v>157187.70000000001</v>
      </c>
      <c r="R129" s="294">
        <v>423571</v>
      </c>
      <c r="S129" s="294"/>
      <c r="T129" s="294">
        <f t="shared" si="79"/>
        <v>2028857.29</v>
      </c>
      <c r="U129" s="294">
        <v>4659282.83</v>
      </c>
      <c r="V129" s="294">
        <f t="shared" si="80"/>
        <v>-2630425.54</v>
      </c>
      <c r="X129" s="430"/>
      <c r="Y129" s="430"/>
      <c r="Z129" s="428"/>
      <c r="AA129" s="428"/>
      <c r="AB129" s="428"/>
      <c r="AC129" s="428"/>
      <c r="AD129" s="428"/>
      <c r="AE129" s="428"/>
      <c r="AF129" s="428"/>
      <c r="AG129" s="428"/>
      <c r="AH129" s="428"/>
      <c r="AI129" s="428"/>
      <c r="AJ129" s="429">
        <f t="shared" si="81"/>
        <v>0</v>
      </c>
      <c r="AK129" s="46"/>
    </row>
    <row r="130" spans="1:37" ht="18.75" customHeight="1">
      <c r="A130" s="263"/>
      <c r="B130" s="263"/>
      <c r="C130" s="368"/>
      <c r="D130" s="294"/>
      <c r="E130" s="369" t="s">
        <v>321</v>
      </c>
      <c r="F130" s="370"/>
      <c r="G130" s="294"/>
      <c r="H130" s="294"/>
      <c r="I130" s="294">
        <v>17664</v>
      </c>
      <c r="J130" s="294">
        <v>14983</v>
      </c>
      <c r="K130" s="294">
        <v>27274.68</v>
      </c>
      <c r="L130" s="294">
        <v>14735.92</v>
      </c>
      <c r="M130" s="294">
        <v>34818.730000000003</v>
      </c>
      <c r="N130" s="294">
        <v>69127.429999999993</v>
      </c>
      <c r="O130" s="294">
        <v>21060.5</v>
      </c>
      <c r="P130" s="294">
        <v>243108.29</v>
      </c>
      <c r="Q130" s="294">
        <v>183593.11</v>
      </c>
      <c r="R130" s="294"/>
      <c r="S130" s="294"/>
      <c r="T130" s="294">
        <f t="shared" si="79"/>
        <v>626365.66</v>
      </c>
      <c r="U130" s="294"/>
      <c r="V130" s="294">
        <f t="shared" si="80"/>
        <v>626365.66</v>
      </c>
      <c r="X130" s="430"/>
      <c r="Y130" s="430"/>
      <c r="Z130" s="428"/>
      <c r="AA130" s="428"/>
      <c r="AB130" s="428"/>
      <c r="AC130" s="428"/>
      <c r="AD130" s="428"/>
      <c r="AE130" s="428"/>
      <c r="AF130" s="428"/>
      <c r="AG130" s="428"/>
      <c r="AH130" s="428"/>
      <c r="AI130" s="428"/>
      <c r="AJ130" s="429">
        <f t="shared" si="81"/>
        <v>0</v>
      </c>
      <c r="AK130" s="46"/>
    </row>
    <row r="131" spans="1:37" ht="18.75" customHeight="1">
      <c r="A131" s="263"/>
      <c r="B131" s="263"/>
      <c r="C131" s="368"/>
      <c r="D131" s="294"/>
      <c r="E131" s="369" t="s">
        <v>322</v>
      </c>
      <c r="F131" s="370"/>
      <c r="G131" s="294"/>
      <c r="H131" s="294"/>
      <c r="I131" s="294">
        <v>56810.7</v>
      </c>
      <c r="J131" s="294"/>
      <c r="K131" s="294"/>
      <c r="L131" s="294"/>
      <c r="M131" s="294"/>
      <c r="N131" s="294">
        <v>3393.21</v>
      </c>
      <c r="O131" s="294">
        <v>8260</v>
      </c>
      <c r="P131" s="294">
        <v>30141</v>
      </c>
      <c r="Q131" s="294">
        <v>34555.75</v>
      </c>
      <c r="R131" s="294"/>
      <c r="S131" s="294"/>
      <c r="T131" s="294">
        <f t="shared" si="79"/>
        <v>133160.66</v>
      </c>
      <c r="U131" s="294"/>
      <c r="V131" s="294">
        <f t="shared" si="80"/>
        <v>133160.66</v>
      </c>
      <c r="X131" s="430"/>
      <c r="Y131" s="430"/>
      <c r="Z131" s="428"/>
      <c r="AA131" s="428"/>
      <c r="AB131" s="428"/>
      <c r="AC131" s="428"/>
      <c r="AD131" s="428"/>
      <c r="AE131" s="428"/>
      <c r="AF131" s="428"/>
      <c r="AG131" s="428"/>
      <c r="AH131" s="428"/>
      <c r="AI131" s="428"/>
      <c r="AJ131" s="429">
        <f t="shared" si="81"/>
        <v>0</v>
      </c>
      <c r="AK131" s="46"/>
    </row>
    <row r="132" spans="1:37" ht="18.75" customHeight="1">
      <c r="A132" s="263"/>
      <c r="B132" s="263"/>
      <c r="C132" s="368"/>
      <c r="D132" s="294">
        <v>28821.65</v>
      </c>
      <c r="E132" s="369" t="s">
        <v>307</v>
      </c>
      <c r="F132" s="370"/>
      <c r="G132" s="294"/>
      <c r="H132" s="294"/>
      <c r="I132" s="294"/>
      <c r="J132" s="294">
        <v>165702.87</v>
      </c>
      <c r="K132" s="294"/>
      <c r="L132" s="294">
        <v>165702.87</v>
      </c>
      <c r="M132" s="294"/>
      <c r="N132" s="294"/>
      <c r="O132" s="294">
        <v>448873.43</v>
      </c>
      <c r="P132" s="294">
        <v>375194.03</v>
      </c>
      <c r="Q132" s="294"/>
      <c r="R132" s="294">
        <v>107122</v>
      </c>
      <c r="S132" s="294"/>
      <c r="T132" s="294">
        <f t="shared" si="79"/>
        <v>1262595.2</v>
      </c>
      <c r="U132" s="294">
        <v>1178344.75</v>
      </c>
      <c r="V132" s="294">
        <f t="shared" si="80"/>
        <v>84250.449999999953</v>
      </c>
      <c r="X132" s="430"/>
      <c r="Y132" s="430"/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9">
        <f t="shared" si="81"/>
        <v>0</v>
      </c>
      <c r="AK132" s="46"/>
    </row>
    <row r="133" spans="1:37" ht="18.75" customHeight="1">
      <c r="A133" s="263"/>
      <c r="B133" s="263"/>
      <c r="C133" s="368"/>
      <c r="D133" s="294"/>
      <c r="E133" s="369" t="s">
        <v>145</v>
      </c>
      <c r="F133" s="370"/>
      <c r="G133" s="294"/>
      <c r="H133" s="294">
        <v>65000</v>
      </c>
      <c r="I133" s="294">
        <v>42000</v>
      </c>
      <c r="J133" s="294">
        <v>65000</v>
      </c>
      <c r="K133" s="294">
        <v>61000</v>
      </c>
      <c r="L133" s="294"/>
      <c r="M133" s="294">
        <v>41400</v>
      </c>
      <c r="N133" s="294">
        <v>15000</v>
      </c>
      <c r="O133" s="294">
        <f>123500+93200</f>
        <v>216700</v>
      </c>
      <c r="P133" s="294">
        <f>494650+18800</f>
        <v>513450</v>
      </c>
      <c r="Q133" s="294">
        <v>470680</v>
      </c>
      <c r="R133" s="294">
        <v>294288</v>
      </c>
      <c r="S133" s="294"/>
      <c r="T133" s="294">
        <f t="shared" si="79"/>
        <v>1784518</v>
      </c>
      <c r="U133" s="294">
        <v>3237165.25</v>
      </c>
      <c r="V133" s="294">
        <f t="shared" si="80"/>
        <v>-1452647.25</v>
      </c>
      <c r="X133" s="430"/>
      <c r="Y133" s="430"/>
      <c r="Z133" s="428"/>
      <c r="AA133" s="428"/>
      <c r="AB133" s="428"/>
      <c r="AC133" s="428"/>
      <c r="AD133" s="428"/>
      <c r="AE133" s="428"/>
      <c r="AF133" s="428"/>
      <c r="AG133" s="428"/>
      <c r="AH133" s="428"/>
      <c r="AI133" s="428"/>
      <c r="AJ133" s="429">
        <f t="shared" si="81"/>
        <v>0</v>
      </c>
      <c r="AK133" s="46"/>
    </row>
    <row r="134" spans="1:37" ht="18.75" customHeight="1">
      <c r="A134" s="263"/>
      <c r="B134" s="263"/>
      <c r="C134" s="368"/>
      <c r="D134" s="294"/>
      <c r="E134" s="369" t="s">
        <v>308</v>
      </c>
      <c r="F134" s="370"/>
      <c r="G134" s="294"/>
      <c r="H134" s="294"/>
      <c r="I134" s="294">
        <v>22606</v>
      </c>
      <c r="J134" s="294"/>
      <c r="K134" s="294"/>
      <c r="L134" s="294"/>
      <c r="M134" s="294"/>
      <c r="N134" s="294"/>
      <c r="O134" s="294">
        <v>71120</v>
      </c>
      <c r="P134" s="294">
        <v>71120</v>
      </c>
      <c r="Q134" s="294">
        <v>186000</v>
      </c>
      <c r="R134" s="294">
        <v>111272</v>
      </c>
      <c r="S134" s="294"/>
      <c r="T134" s="294">
        <f t="shared" si="79"/>
        <v>462118</v>
      </c>
      <c r="U134" s="294">
        <v>1223991.08</v>
      </c>
      <c r="V134" s="294">
        <f t="shared" si="80"/>
        <v>-761873.08000000007</v>
      </c>
      <c r="X134" s="430"/>
      <c r="Y134" s="430"/>
      <c r="Z134" s="428"/>
      <c r="AA134" s="428"/>
      <c r="AB134" s="428"/>
      <c r="AC134" s="428"/>
      <c r="AD134" s="428"/>
      <c r="AE134" s="428"/>
      <c r="AF134" s="428"/>
      <c r="AG134" s="428"/>
      <c r="AH134" s="428"/>
      <c r="AI134" s="428"/>
      <c r="AJ134" s="429">
        <f t="shared" si="81"/>
        <v>0</v>
      </c>
      <c r="AK134" s="46"/>
    </row>
    <row r="135" spans="1:37" ht="18.75" customHeight="1">
      <c r="A135" s="263"/>
      <c r="B135" s="263"/>
      <c r="C135" s="368"/>
      <c r="D135" s="294">
        <f>7000+13000+141728.33</f>
        <v>161728.32999999999</v>
      </c>
      <c r="E135" s="369" t="s">
        <v>309</v>
      </c>
      <c r="F135" s="370"/>
      <c r="G135" s="294">
        <v>13750</v>
      </c>
      <c r="H135" s="294">
        <v>79545.95</v>
      </c>
      <c r="I135" s="294"/>
      <c r="J135" s="294"/>
      <c r="K135" s="294"/>
      <c r="L135" s="294"/>
      <c r="M135" s="294"/>
      <c r="N135" s="294"/>
      <c r="O135" s="294"/>
      <c r="P135" s="294"/>
      <c r="Q135" s="294"/>
      <c r="R135" s="294">
        <v>166948</v>
      </c>
      <c r="S135" s="294"/>
      <c r="T135" s="294">
        <f t="shared" si="79"/>
        <v>260243.95</v>
      </c>
      <c r="U135" s="294">
        <v>1836428.92</v>
      </c>
      <c r="V135" s="294">
        <f t="shared" si="80"/>
        <v>-1576184.97</v>
      </c>
      <c r="X135" s="430"/>
      <c r="Y135" s="430"/>
      <c r="Z135" s="428"/>
      <c r="AA135" s="428"/>
      <c r="AB135" s="428"/>
      <c r="AC135" s="428"/>
      <c r="AD135" s="428"/>
      <c r="AE135" s="428"/>
      <c r="AF135" s="428"/>
      <c r="AG135" s="428"/>
      <c r="AH135" s="428"/>
      <c r="AI135" s="428"/>
      <c r="AJ135" s="429">
        <f t="shared" si="81"/>
        <v>0</v>
      </c>
      <c r="AK135" s="46"/>
    </row>
    <row r="136" spans="1:37" ht="18.75" customHeight="1">
      <c r="A136" s="263"/>
      <c r="B136" s="263"/>
      <c r="C136" s="368"/>
      <c r="D136" s="294"/>
      <c r="E136" s="369" t="s">
        <v>310</v>
      </c>
      <c r="F136" s="370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>
        <v>70622</v>
      </c>
      <c r="S136" s="294"/>
      <c r="T136" s="294">
        <f t="shared" si="79"/>
        <v>70622</v>
      </c>
      <c r="U136" s="294">
        <v>776836.5</v>
      </c>
      <c r="V136" s="294">
        <f t="shared" si="80"/>
        <v>-706214.5</v>
      </c>
      <c r="X136" s="428">
        <v>983051.59</v>
      </c>
      <c r="Y136" s="430"/>
      <c r="Z136" s="428"/>
      <c r="AA136" s="428"/>
      <c r="AB136" s="428"/>
      <c r="AC136" s="428"/>
      <c r="AD136" s="428"/>
      <c r="AE136" s="428"/>
      <c r="AF136" s="428"/>
      <c r="AG136" s="428"/>
      <c r="AH136" s="428"/>
      <c r="AI136" s="428"/>
      <c r="AJ136" s="429">
        <f t="shared" si="81"/>
        <v>983051.59</v>
      </c>
      <c r="AK136" s="46"/>
    </row>
    <row r="137" spans="1:37" ht="18.75" customHeight="1">
      <c r="A137" s="263"/>
      <c r="B137" s="263"/>
      <c r="C137" s="368"/>
      <c r="D137" s="294"/>
      <c r="E137" s="369" t="s">
        <v>146</v>
      </c>
      <c r="F137" s="370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>
        <v>75000</v>
      </c>
      <c r="S137" s="294"/>
      <c r="T137" s="294">
        <f t="shared" si="79"/>
        <v>75000</v>
      </c>
      <c r="U137" s="294">
        <v>825000</v>
      </c>
      <c r="V137" s="294">
        <f t="shared" si="80"/>
        <v>-750000</v>
      </c>
      <c r="X137" s="428">
        <v>1044000</v>
      </c>
      <c r="Y137" s="430"/>
      <c r="Z137" s="428"/>
      <c r="AA137" s="428"/>
      <c r="AB137" s="428"/>
      <c r="AC137" s="428"/>
      <c r="AD137" s="428"/>
      <c r="AE137" s="428"/>
      <c r="AF137" s="428"/>
      <c r="AG137" s="428"/>
      <c r="AH137" s="428"/>
      <c r="AI137" s="428"/>
      <c r="AJ137" s="429">
        <f t="shared" si="81"/>
        <v>1044000</v>
      </c>
      <c r="AK137" s="46"/>
    </row>
    <row r="138" spans="1:37" ht="18.75" customHeight="1">
      <c r="A138" s="263"/>
      <c r="B138" s="263"/>
      <c r="C138" s="368"/>
      <c r="D138" s="294">
        <v>5850</v>
      </c>
      <c r="E138" s="369" t="s">
        <v>103</v>
      </c>
      <c r="F138" s="370"/>
      <c r="G138" s="294"/>
      <c r="H138" s="294"/>
      <c r="I138" s="294">
        <v>14800</v>
      </c>
      <c r="J138" s="294"/>
      <c r="K138" s="294">
        <v>11776</v>
      </c>
      <c r="L138" s="294">
        <v>19057.27</v>
      </c>
      <c r="M138" s="294"/>
      <c r="N138" s="294"/>
      <c r="O138" s="294">
        <v>5000</v>
      </c>
      <c r="P138" s="294">
        <v>17410</v>
      </c>
      <c r="Q138" s="294">
        <v>46522.5</v>
      </c>
      <c r="R138" s="294"/>
      <c r="S138" s="294"/>
      <c r="T138" s="294">
        <f t="shared" si="79"/>
        <v>114565.77</v>
      </c>
      <c r="U138" s="294"/>
      <c r="V138" s="294">
        <f t="shared" si="80"/>
        <v>114565.77</v>
      </c>
      <c r="X138" s="430"/>
      <c r="Y138" s="430"/>
      <c r="Z138" s="428"/>
      <c r="AA138" s="428"/>
      <c r="AB138" s="428"/>
      <c r="AC138" s="428"/>
      <c r="AD138" s="428"/>
      <c r="AE138" s="428"/>
      <c r="AF138" s="428"/>
      <c r="AG138" s="428"/>
      <c r="AH138" s="428"/>
      <c r="AI138" s="428"/>
      <c r="AJ138" s="429">
        <f t="shared" si="81"/>
        <v>0</v>
      </c>
      <c r="AK138" s="46"/>
    </row>
    <row r="139" spans="1:37" ht="18.75" customHeight="1">
      <c r="A139" s="263"/>
      <c r="B139" s="263"/>
      <c r="C139" s="368"/>
      <c r="D139" s="294">
        <v>138960.44</v>
      </c>
      <c r="E139" s="369" t="s">
        <v>104</v>
      </c>
      <c r="F139" s="370"/>
      <c r="G139" s="294">
        <v>800</v>
      </c>
      <c r="H139" s="294"/>
      <c r="I139" s="294"/>
      <c r="J139" s="294">
        <v>3213.61</v>
      </c>
      <c r="K139" s="294"/>
      <c r="L139" s="294">
        <v>3500</v>
      </c>
      <c r="M139" s="294"/>
      <c r="N139" s="294"/>
      <c r="O139" s="294"/>
      <c r="P139" s="294"/>
      <c r="Q139" s="294">
        <f>32053.22+92071.6</f>
        <v>124124.82</v>
      </c>
      <c r="R139" s="294"/>
      <c r="S139" s="294"/>
      <c r="T139" s="294">
        <f t="shared" si="79"/>
        <v>131638.43</v>
      </c>
      <c r="U139" s="294"/>
      <c r="V139" s="294">
        <f t="shared" si="80"/>
        <v>131638.43</v>
      </c>
      <c r="X139" s="430"/>
      <c r="Y139" s="430"/>
      <c r="Z139" s="428"/>
      <c r="AA139" s="428"/>
      <c r="AB139" s="428"/>
      <c r="AC139" s="428"/>
      <c r="AD139" s="428"/>
      <c r="AE139" s="428"/>
      <c r="AF139" s="428"/>
      <c r="AG139" s="428"/>
      <c r="AH139" s="428"/>
      <c r="AI139" s="428"/>
      <c r="AJ139" s="429">
        <f t="shared" si="81"/>
        <v>0</v>
      </c>
      <c r="AK139" s="46"/>
    </row>
    <row r="140" spans="1:37" ht="18.75" customHeight="1">
      <c r="A140" s="263"/>
      <c r="B140" s="263"/>
      <c r="C140" s="368"/>
      <c r="D140" s="294"/>
      <c r="E140" s="369" t="s">
        <v>101</v>
      </c>
      <c r="F140" s="370"/>
      <c r="G140" s="294"/>
      <c r="H140" s="294"/>
      <c r="I140" s="294"/>
      <c r="J140" s="294"/>
      <c r="K140" s="294"/>
      <c r="L140" s="294">
        <v>34862</v>
      </c>
      <c r="M140" s="294"/>
      <c r="N140" s="294"/>
      <c r="O140" s="294"/>
      <c r="P140" s="294"/>
      <c r="Q140" s="294"/>
      <c r="R140" s="294"/>
      <c r="S140" s="294"/>
      <c r="T140" s="294">
        <f t="shared" si="79"/>
        <v>34862</v>
      </c>
      <c r="U140" s="294"/>
      <c r="V140" s="294">
        <f t="shared" si="80"/>
        <v>34862</v>
      </c>
      <c r="X140" s="430"/>
      <c r="Y140" s="430"/>
      <c r="Z140" s="428"/>
      <c r="AA140" s="428"/>
      <c r="AB140" s="428"/>
      <c r="AC140" s="428"/>
      <c r="AD140" s="428"/>
      <c r="AE140" s="428"/>
      <c r="AF140" s="428"/>
      <c r="AG140" s="428"/>
      <c r="AH140" s="428"/>
      <c r="AI140" s="428"/>
      <c r="AJ140" s="429">
        <f t="shared" si="81"/>
        <v>0</v>
      </c>
      <c r="AK140" s="46"/>
    </row>
    <row r="141" spans="1:37" ht="18.75" customHeight="1">
      <c r="A141" s="263"/>
      <c r="B141" s="263"/>
      <c r="C141" s="368"/>
      <c r="D141" s="294"/>
      <c r="E141" s="369" t="s">
        <v>323</v>
      </c>
      <c r="F141" s="370"/>
      <c r="G141" s="294"/>
      <c r="H141" s="294"/>
      <c r="I141" s="294"/>
      <c r="J141" s="294"/>
      <c r="K141" s="294"/>
      <c r="L141" s="294">
        <v>33883.85</v>
      </c>
      <c r="M141" s="294"/>
      <c r="N141" s="294"/>
      <c r="O141" s="294">
        <v>33883.85</v>
      </c>
      <c r="P141" s="294"/>
      <c r="Q141" s="294"/>
      <c r="R141" s="294"/>
      <c r="S141" s="294"/>
      <c r="T141" s="294">
        <f t="shared" si="79"/>
        <v>67767.7</v>
      </c>
      <c r="U141" s="294"/>
      <c r="V141" s="294">
        <f t="shared" si="80"/>
        <v>67767.7</v>
      </c>
      <c r="X141" s="430"/>
      <c r="Y141" s="430"/>
      <c r="Z141" s="428"/>
      <c r="AA141" s="428"/>
      <c r="AB141" s="428"/>
      <c r="AC141" s="428"/>
      <c r="AD141" s="428"/>
      <c r="AE141" s="428"/>
      <c r="AF141" s="428"/>
      <c r="AG141" s="428"/>
      <c r="AH141" s="428"/>
      <c r="AI141" s="428"/>
      <c r="AJ141" s="429">
        <f t="shared" si="81"/>
        <v>0</v>
      </c>
      <c r="AK141" s="46"/>
    </row>
    <row r="142" spans="1:37" ht="18.75" customHeight="1">
      <c r="A142" s="263"/>
      <c r="B142" s="263"/>
      <c r="C142" s="368"/>
      <c r="D142" s="294"/>
      <c r="E142" s="369" t="s">
        <v>324</v>
      </c>
      <c r="F142" s="370"/>
      <c r="G142" s="294"/>
      <c r="H142" s="294"/>
      <c r="I142" s="294"/>
      <c r="J142" s="294"/>
      <c r="K142" s="294"/>
      <c r="L142" s="294">
        <v>33467.75</v>
      </c>
      <c r="M142" s="294"/>
      <c r="N142" s="294"/>
      <c r="O142" s="294">
        <v>33467.75</v>
      </c>
      <c r="P142" s="294"/>
      <c r="Q142" s="294"/>
      <c r="R142" s="294"/>
      <c r="S142" s="294"/>
      <c r="T142" s="294">
        <f t="shared" si="79"/>
        <v>66935.5</v>
      </c>
      <c r="U142" s="294"/>
      <c r="V142" s="294">
        <f t="shared" si="80"/>
        <v>66935.5</v>
      </c>
      <c r="X142" s="430"/>
      <c r="Y142" s="430"/>
      <c r="Z142" s="428"/>
      <c r="AA142" s="428"/>
      <c r="AB142" s="428"/>
      <c r="AC142" s="428"/>
      <c r="AD142" s="428"/>
      <c r="AE142" s="428"/>
      <c r="AF142" s="428"/>
      <c r="AG142" s="428"/>
      <c r="AH142" s="428"/>
      <c r="AI142" s="428"/>
      <c r="AJ142" s="429">
        <f t="shared" si="81"/>
        <v>0</v>
      </c>
      <c r="AK142" s="46"/>
    </row>
    <row r="143" spans="1:37" ht="18.75" customHeight="1">
      <c r="A143" s="263"/>
      <c r="B143" s="263"/>
      <c r="C143" s="368"/>
      <c r="D143" s="294"/>
      <c r="E143" s="369" t="s">
        <v>325</v>
      </c>
      <c r="F143" s="370"/>
      <c r="G143" s="294"/>
      <c r="H143" s="294"/>
      <c r="I143" s="294"/>
      <c r="J143" s="294"/>
      <c r="K143" s="294"/>
      <c r="L143" s="294">
        <v>57237.88</v>
      </c>
      <c r="M143" s="294"/>
      <c r="N143" s="294"/>
      <c r="O143" s="294">
        <v>57237.88</v>
      </c>
      <c r="P143" s="294"/>
      <c r="Q143" s="294"/>
      <c r="R143" s="294"/>
      <c r="S143" s="294"/>
      <c r="T143" s="294">
        <f t="shared" si="79"/>
        <v>114475.76</v>
      </c>
      <c r="U143" s="294"/>
      <c r="V143" s="294">
        <f t="shared" si="80"/>
        <v>114475.76</v>
      </c>
      <c r="X143" s="430"/>
      <c r="Y143" s="430"/>
      <c r="Z143" s="428"/>
      <c r="AA143" s="428"/>
      <c r="AB143" s="428"/>
      <c r="AC143" s="428"/>
      <c r="AD143" s="428"/>
      <c r="AE143" s="428"/>
      <c r="AF143" s="428"/>
      <c r="AG143" s="428"/>
      <c r="AH143" s="428"/>
      <c r="AI143" s="428"/>
      <c r="AJ143" s="429">
        <f t="shared" si="81"/>
        <v>0</v>
      </c>
      <c r="AK143" s="46"/>
    </row>
    <row r="144" spans="1:37" ht="18.75" customHeight="1">
      <c r="A144" s="263"/>
      <c r="B144" s="263"/>
      <c r="C144" s="368"/>
      <c r="D144" s="294"/>
      <c r="E144" s="369" t="s">
        <v>326</v>
      </c>
      <c r="F144" s="370"/>
      <c r="G144" s="294"/>
      <c r="H144" s="294"/>
      <c r="I144" s="294"/>
      <c r="J144" s="294"/>
      <c r="K144" s="294"/>
      <c r="L144" s="294">
        <v>18892.77</v>
      </c>
      <c r="M144" s="294"/>
      <c r="N144" s="294"/>
      <c r="O144" s="294">
        <v>18892.77</v>
      </c>
      <c r="P144" s="294"/>
      <c r="Q144" s="294"/>
      <c r="R144" s="294"/>
      <c r="S144" s="294"/>
      <c r="T144" s="294">
        <f t="shared" si="79"/>
        <v>37785.54</v>
      </c>
      <c r="U144" s="294"/>
      <c r="V144" s="294">
        <f t="shared" si="80"/>
        <v>37785.54</v>
      </c>
      <c r="X144" s="430"/>
      <c r="Y144" s="430"/>
      <c r="Z144" s="428"/>
      <c r="AA144" s="428"/>
      <c r="AB144" s="428"/>
      <c r="AC144" s="428"/>
      <c r="AD144" s="428"/>
      <c r="AE144" s="428"/>
      <c r="AF144" s="428"/>
      <c r="AG144" s="428"/>
      <c r="AH144" s="428"/>
      <c r="AI144" s="428"/>
      <c r="AJ144" s="429">
        <f t="shared" si="81"/>
        <v>0</v>
      </c>
      <c r="AK144" s="46"/>
    </row>
    <row r="145" spans="1:37" ht="18.75" customHeight="1">
      <c r="A145" s="263"/>
      <c r="B145" s="263"/>
      <c r="C145" s="368"/>
      <c r="D145" s="294"/>
      <c r="E145" s="369" t="s">
        <v>327</v>
      </c>
      <c r="F145" s="370"/>
      <c r="G145" s="294"/>
      <c r="H145" s="294"/>
      <c r="I145" s="294"/>
      <c r="J145" s="294"/>
      <c r="K145" s="294"/>
      <c r="L145" s="294">
        <v>10042.370000000001</v>
      </c>
      <c r="M145" s="294"/>
      <c r="N145" s="294"/>
      <c r="O145" s="294">
        <v>10042.370000000001</v>
      </c>
      <c r="P145" s="294"/>
      <c r="Q145" s="294"/>
      <c r="R145" s="294"/>
      <c r="S145" s="294"/>
      <c r="T145" s="294">
        <f t="shared" si="79"/>
        <v>20084.740000000002</v>
      </c>
      <c r="U145" s="294"/>
      <c r="V145" s="294">
        <f t="shared" si="80"/>
        <v>20084.740000000002</v>
      </c>
      <c r="X145" s="430"/>
      <c r="Y145" s="430"/>
      <c r="Z145" s="428"/>
      <c r="AA145" s="428"/>
      <c r="AB145" s="428"/>
      <c r="AC145" s="428"/>
      <c r="AD145" s="428"/>
      <c r="AE145" s="428"/>
      <c r="AF145" s="428"/>
      <c r="AG145" s="428"/>
      <c r="AH145" s="428"/>
      <c r="AI145" s="428"/>
      <c r="AJ145" s="429">
        <f t="shared" si="81"/>
        <v>0</v>
      </c>
      <c r="AK145" s="46"/>
    </row>
    <row r="146" spans="1:37" ht="18.75" customHeight="1">
      <c r="A146" s="263"/>
      <c r="B146" s="263"/>
      <c r="C146" s="368"/>
      <c r="D146" s="294"/>
      <c r="E146" s="369" t="s">
        <v>328</v>
      </c>
      <c r="F146" s="370"/>
      <c r="G146" s="294"/>
      <c r="H146" s="294"/>
      <c r="I146" s="294"/>
      <c r="J146" s="294"/>
      <c r="K146" s="294"/>
      <c r="L146" s="294">
        <v>39295.86</v>
      </c>
      <c r="M146" s="294"/>
      <c r="N146" s="294"/>
      <c r="O146" s="294">
        <v>39295.86</v>
      </c>
      <c r="P146" s="294"/>
      <c r="Q146" s="294"/>
      <c r="R146" s="294"/>
      <c r="S146" s="294"/>
      <c r="T146" s="294">
        <f t="shared" si="79"/>
        <v>78591.72</v>
      </c>
      <c r="U146" s="294"/>
      <c r="V146" s="294">
        <f t="shared" si="80"/>
        <v>78591.72</v>
      </c>
      <c r="X146" s="430"/>
      <c r="Y146" s="430"/>
      <c r="Z146" s="428"/>
      <c r="AA146" s="428"/>
      <c r="AB146" s="428"/>
      <c r="AC146" s="428"/>
      <c r="AD146" s="428"/>
      <c r="AE146" s="428"/>
      <c r="AF146" s="428"/>
      <c r="AG146" s="428"/>
      <c r="AH146" s="428"/>
      <c r="AI146" s="428"/>
      <c r="AJ146" s="429">
        <f t="shared" si="81"/>
        <v>0</v>
      </c>
      <c r="AK146" s="46"/>
    </row>
    <row r="147" spans="1:37" ht="18.75" customHeight="1">
      <c r="A147" s="263"/>
      <c r="B147" s="263"/>
      <c r="C147" s="368"/>
      <c r="D147" s="294">
        <v>48365.25</v>
      </c>
      <c r="E147" s="369" t="s">
        <v>108</v>
      </c>
      <c r="F147" s="370"/>
      <c r="G147" s="294"/>
      <c r="H147" s="294">
        <v>56425.95</v>
      </c>
      <c r="I147" s="294">
        <v>17879.259999999998</v>
      </c>
      <c r="J147" s="294"/>
      <c r="K147" s="294"/>
      <c r="L147" s="294"/>
      <c r="M147" s="294"/>
      <c r="N147" s="294"/>
      <c r="O147" s="294"/>
      <c r="P147" s="294"/>
      <c r="Q147" s="294">
        <v>169977.54</v>
      </c>
      <c r="R147" s="294"/>
      <c r="S147" s="294"/>
      <c r="T147" s="294">
        <f t="shared" si="79"/>
        <v>244282.75</v>
      </c>
      <c r="U147" s="294"/>
      <c r="V147" s="294">
        <f t="shared" si="80"/>
        <v>244282.75</v>
      </c>
      <c r="X147" s="430"/>
      <c r="Y147" s="430"/>
      <c r="Z147" s="428"/>
      <c r="AA147" s="428"/>
      <c r="AB147" s="428"/>
      <c r="AC147" s="428"/>
      <c r="AD147" s="428"/>
      <c r="AE147" s="428"/>
      <c r="AF147" s="428"/>
      <c r="AG147" s="428"/>
      <c r="AH147" s="428"/>
      <c r="AI147" s="428"/>
      <c r="AJ147" s="429">
        <f t="shared" si="81"/>
        <v>0</v>
      </c>
      <c r="AK147" s="46"/>
    </row>
    <row r="148" spans="1:37" ht="18.75" customHeight="1">
      <c r="A148" s="263"/>
      <c r="B148" s="263"/>
      <c r="C148" s="368"/>
      <c r="D148" s="294"/>
      <c r="E148" s="369"/>
      <c r="F148" s="370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>
        <f t="shared" si="79"/>
        <v>0</v>
      </c>
      <c r="U148" s="294"/>
      <c r="V148" s="294"/>
      <c r="X148" s="439"/>
      <c r="Y148" s="439"/>
      <c r="Z148" s="440"/>
      <c r="AA148" s="440"/>
      <c r="AB148" s="440"/>
      <c r="AC148" s="440"/>
      <c r="AD148" s="440"/>
      <c r="AE148" s="440"/>
      <c r="AF148" s="440"/>
      <c r="AG148" s="440"/>
      <c r="AH148" s="440"/>
      <c r="AI148" s="440"/>
      <c r="AJ148" s="432">
        <f t="shared" si="81"/>
        <v>0</v>
      </c>
      <c r="AK148" s="46"/>
    </row>
    <row r="149" spans="1:37" ht="18.75" customHeight="1">
      <c r="A149" s="263"/>
      <c r="B149" s="263"/>
      <c r="C149" s="371">
        <f>SUM(C124:C148)</f>
        <v>461052.63</v>
      </c>
      <c r="D149" s="371">
        <f>SUM(D124:D148)</f>
        <v>2946285.37</v>
      </c>
      <c r="E149" s="372" t="s">
        <v>311</v>
      </c>
      <c r="F149" s="373">
        <f>SUM(F126:F148)</f>
        <v>0</v>
      </c>
      <c r="G149" s="373">
        <f t="shared" ref="G149:S149" si="82">SUM(G124:G148)</f>
        <v>230353.66999999998</v>
      </c>
      <c r="H149" s="373">
        <f t="shared" si="82"/>
        <v>415002.36</v>
      </c>
      <c r="I149" s="373">
        <f t="shared" si="82"/>
        <v>440470.78</v>
      </c>
      <c r="J149" s="373">
        <f t="shared" si="82"/>
        <v>384589.11</v>
      </c>
      <c r="K149" s="373">
        <f t="shared" si="82"/>
        <v>233881.76</v>
      </c>
      <c r="L149" s="373">
        <f t="shared" si="82"/>
        <v>764964.78999999992</v>
      </c>
      <c r="M149" s="373">
        <f t="shared" si="82"/>
        <v>310203.68</v>
      </c>
      <c r="N149" s="373">
        <f t="shared" si="82"/>
        <v>287476.2</v>
      </c>
      <c r="O149" s="373">
        <f t="shared" si="82"/>
        <v>1231831.1700000002</v>
      </c>
      <c r="P149" s="373">
        <f t="shared" si="82"/>
        <v>1553670.7400000002</v>
      </c>
      <c r="Q149" s="373">
        <f t="shared" si="82"/>
        <v>1445586.2100000002</v>
      </c>
      <c r="R149" s="373">
        <f t="shared" si="82"/>
        <v>1548140</v>
      </c>
      <c r="S149" s="373">
        <f t="shared" si="82"/>
        <v>0</v>
      </c>
      <c r="T149" s="374">
        <f>SUM(T124:T148)</f>
        <v>8846170.4700000007</v>
      </c>
      <c r="U149" s="373">
        <f>SUM(U124:U148)</f>
        <v>17029537.240000002</v>
      </c>
      <c r="V149" s="373">
        <f>SUM(V124:V148)</f>
        <v>-8183366.7700000014</v>
      </c>
      <c r="X149" s="373">
        <f t="shared" ref="X149:AJ149" si="83">SUM(X124:X148)</f>
        <v>2027051.5899999999</v>
      </c>
      <c r="Y149" s="373">
        <f t="shared" si="83"/>
        <v>0</v>
      </c>
      <c r="Z149" s="373">
        <f t="shared" si="83"/>
        <v>0</v>
      </c>
      <c r="AA149" s="373">
        <f t="shared" si="83"/>
        <v>0</v>
      </c>
      <c r="AB149" s="373">
        <f t="shared" si="83"/>
        <v>0</v>
      </c>
      <c r="AC149" s="373">
        <f t="shared" si="83"/>
        <v>0</v>
      </c>
      <c r="AD149" s="373">
        <f t="shared" si="83"/>
        <v>0</v>
      </c>
      <c r="AE149" s="373">
        <f t="shared" si="83"/>
        <v>0</v>
      </c>
      <c r="AF149" s="373">
        <f t="shared" si="83"/>
        <v>0</v>
      </c>
      <c r="AG149" s="373">
        <f t="shared" si="83"/>
        <v>0</v>
      </c>
      <c r="AH149" s="373">
        <f t="shared" si="83"/>
        <v>0</v>
      </c>
      <c r="AI149" s="373">
        <f t="shared" si="83"/>
        <v>0</v>
      </c>
      <c r="AJ149" s="373">
        <f t="shared" si="83"/>
        <v>2027051.5899999999</v>
      </c>
      <c r="AK149" s="46"/>
    </row>
    <row r="150" spans="1:37" ht="18.75" customHeight="1">
      <c r="A150" s="263"/>
      <c r="B150" s="263"/>
      <c r="C150" s="375">
        <f>+C149*0.16</f>
        <v>73768.420800000007</v>
      </c>
      <c r="D150" s="375">
        <f>+D149*0.16</f>
        <v>471405.65920000005</v>
      </c>
      <c r="E150" s="376" t="s">
        <v>312</v>
      </c>
      <c r="F150" s="377"/>
      <c r="G150" s="377">
        <f t="shared" ref="G150:S150" si="84">+G149*0.16</f>
        <v>36856.587200000002</v>
      </c>
      <c r="H150" s="377">
        <f t="shared" si="84"/>
        <v>66400.377599999993</v>
      </c>
      <c r="I150" s="377">
        <f t="shared" si="84"/>
        <v>70475.324800000002</v>
      </c>
      <c r="J150" s="377">
        <f t="shared" si="84"/>
        <v>61534.257599999997</v>
      </c>
      <c r="K150" s="377">
        <f t="shared" si="84"/>
        <v>37421.081600000005</v>
      </c>
      <c r="L150" s="377">
        <f t="shared" si="84"/>
        <v>122394.36639999998</v>
      </c>
      <c r="M150" s="377">
        <f t="shared" si="84"/>
        <v>49632.588799999998</v>
      </c>
      <c r="N150" s="377">
        <f t="shared" si="84"/>
        <v>45996.192000000003</v>
      </c>
      <c r="O150" s="377">
        <f t="shared" si="84"/>
        <v>197092.98720000003</v>
      </c>
      <c r="P150" s="377">
        <f t="shared" si="84"/>
        <v>248587.31840000005</v>
      </c>
      <c r="Q150" s="377">
        <f t="shared" si="84"/>
        <v>231293.79360000003</v>
      </c>
      <c r="R150" s="377">
        <f t="shared" si="84"/>
        <v>247702.39999999999</v>
      </c>
      <c r="S150" s="377">
        <f t="shared" si="84"/>
        <v>0</v>
      </c>
      <c r="T150" s="378">
        <f>+T149*0.16</f>
        <v>1415387.2752</v>
      </c>
      <c r="U150" s="378">
        <f>+U149*0.16</f>
        <v>2724725.9584000004</v>
      </c>
      <c r="V150" s="379">
        <f>+T150-U150</f>
        <v>-1309338.6832000003</v>
      </c>
      <c r="W150" s="380"/>
      <c r="X150" s="377">
        <f t="shared" ref="X150:AJ150" si="85">+X149*0.16</f>
        <v>324328.25439999998</v>
      </c>
      <c r="Y150" s="377">
        <f t="shared" si="85"/>
        <v>0</v>
      </c>
      <c r="Z150" s="377">
        <f t="shared" si="85"/>
        <v>0</v>
      </c>
      <c r="AA150" s="377">
        <f t="shared" si="85"/>
        <v>0</v>
      </c>
      <c r="AB150" s="377">
        <f t="shared" si="85"/>
        <v>0</v>
      </c>
      <c r="AC150" s="377">
        <f t="shared" si="85"/>
        <v>0</v>
      </c>
      <c r="AD150" s="377">
        <f t="shared" si="85"/>
        <v>0</v>
      </c>
      <c r="AE150" s="377">
        <f t="shared" si="85"/>
        <v>0</v>
      </c>
      <c r="AF150" s="377">
        <f t="shared" si="85"/>
        <v>0</v>
      </c>
      <c r="AG150" s="377">
        <f t="shared" si="85"/>
        <v>0</v>
      </c>
      <c r="AH150" s="377">
        <f t="shared" si="85"/>
        <v>0</v>
      </c>
      <c r="AI150" s="377">
        <f t="shared" si="85"/>
        <v>0</v>
      </c>
      <c r="AJ150" s="377">
        <f t="shared" si="85"/>
        <v>324328.25439999998</v>
      </c>
      <c r="AK150" s="46"/>
    </row>
    <row r="151" spans="1:37" ht="18" customHeight="1">
      <c r="A151" s="263"/>
      <c r="B151" s="263"/>
      <c r="C151" s="381">
        <f>+C149+C150</f>
        <v>534821.05079999997</v>
      </c>
      <c r="D151" s="381">
        <f>+D149+D150</f>
        <v>3417691.0292000002</v>
      </c>
      <c r="E151" s="382" t="s">
        <v>313</v>
      </c>
      <c r="F151" s="383"/>
      <c r="G151" s="383">
        <f t="shared" ref="G151:S151" si="86">+G149+G150</f>
        <v>267210.25719999999</v>
      </c>
      <c r="H151" s="383">
        <f t="shared" si="86"/>
        <v>481402.73759999999</v>
      </c>
      <c r="I151" s="383">
        <f t="shared" si="86"/>
        <v>510946.10480000003</v>
      </c>
      <c r="J151" s="383">
        <f t="shared" si="86"/>
        <v>446123.3676</v>
      </c>
      <c r="K151" s="383">
        <f t="shared" si="86"/>
        <v>271302.84160000004</v>
      </c>
      <c r="L151" s="383">
        <f t="shared" si="86"/>
        <v>887359.15639999986</v>
      </c>
      <c r="M151" s="383">
        <f t="shared" si="86"/>
        <v>359836.26879999996</v>
      </c>
      <c r="N151" s="383">
        <f t="shared" si="86"/>
        <v>333472.39199999999</v>
      </c>
      <c r="O151" s="383">
        <f t="shared" si="86"/>
        <v>1428924.1572000002</v>
      </c>
      <c r="P151" s="383">
        <f t="shared" si="86"/>
        <v>1802258.0584000002</v>
      </c>
      <c r="Q151" s="383">
        <f t="shared" si="86"/>
        <v>1676880.0036000002</v>
      </c>
      <c r="R151" s="383">
        <f t="shared" si="86"/>
        <v>1795842.4</v>
      </c>
      <c r="S151" s="383">
        <f t="shared" si="86"/>
        <v>0</v>
      </c>
      <c r="T151" s="384">
        <f>+T149+T150</f>
        <v>10261557.745200001</v>
      </c>
      <c r="U151" s="384">
        <f>+U149+U150</f>
        <v>19754263.198400002</v>
      </c>
      <c r="V151" s="384">
        <f>+V149+V150</f>
        <v>-9492705.4532000013</v>
      </c>
      <c r="X151" s="383">
        <f t="shared" ref="X151:AJ151" si="87">+X149+X150</f>
        <v>2351379.8443999998</v>
      </c>
      <c r="Y151" s="383">
        <f t="shared" si="87"/>
        <v>0</v>
      </c>
      <c r="Z151" s="383">
        <f t="shared" si="87"/>
        <v>0</v>
      </c>
      <c r="AA151" s="383">
        <f t="shared" si="87"/>
        <v>0</v>
      </c>
      <c r="AB151" s="383">
        <f t="shared" si="87"/>
        <v>0</v>
      </c>
      <c r="AC151" s="383">
        <f t="shared" si="87"/>
        <v>0</v>
      </c>
      <c r="AD151" s="383">
        <f t="shared" si="87"/>
        <v>0</v>
      </c>
      <c r="AE151" s="383">
        <f t="shared" si="87"/>
        <v>0</v>
      </c>
      <c r="AF151" s="383">
        <f t="shared" si="87"/>
        <v>0</v>
      </c>
      <c r="AG151" s="383">
        <f t="shared" si="87"/>
        <v>0</v>
      </c>
      <c r="AH151" s="383">
        <f t="shared" si="87"/>
        <v>0</v>
      </c>
      <c r="AI151" s="383">
        <f t="shared" si="87"/>
        <v>0</v>
      </c>
      <c r="AJ151" s="383">
        <f t="shared" si="87"/>
        <v>2351379.8443999998</v>
      </c>
      <c r="AK151" s="46"/>
    </row>
    <row r="152" spans="1:37" ht="8.25" customHeight="1">
      <c r="A152" s="263"/>
      <c r="B152" s="263"/>
      <c r="C152" s="385"/>
      <c r="D152" s="386"/>
      <c r="E152" s="385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7"/>
      <c r="Q152" s="387"/>
      <c r="R152" s="387"/>
      <c r="S152" s="387"/>
      <c r="T152" s="388"/>
      <c r="U152" s="387"/>
      <c r="V152" s="389"/>
      <c r="X152" s="263"/>
      <c r="Y152" s="263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46"/>
      <c r="AK152" s="46"/>
    </row>
    <row r="153" spans="1:37" ht="18" customHeight="1">
      <c r="A153" s="263"/>
      <c r="B153" s="263"/>
      <c r="C153" s="390"/>
      <c r="D153" s="391"/>
      <c r="E153" s="390" t="s">
        <v>1</v>
      </c>
      <c r="F153" s="392"/>
      <c r="G153" s="392"/>
      <c r="H153" s="392"/>
      <c r="I153" s="392"/>
      <c r="J153" s="392"/>
      <c r="K153" s="392"/>
      <c r="L153" s="392">
        <f>+L149-764964.79</f>
        <v>0</v>
      </c>
      <c r="M153" s="392"/>
      <c r="N153" s="392"/>
      <c r="O153" s="392"/>
      <c r="P153" s="392"/>
      <c r="Q153" s="392"/>
      <c r="R153" s="392"/>
      <c r="S153" s="392"/>
      <c r="T153" s="393"/>
      <c r="U153" s="392"/>
      <c r="V153" s="394"/>
      <c r="X153" s="263"/>
      <c r="Y153" s="263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46"/>
      <c r="AK153" s="46"/>
    </row>
    <row r="154" spans="1:37" ht="18" customHeight="1">
      <c r="A154" s="263"/>
      <c r="B154" s="263"/>
      <c r="C154" s="369"/>
      <c r="D154" s="391"/>
      <c r="E154" s="369" t="s">
        <v>314</v>
      </c>
      <c r="F154" s="392"/>
      <c r="G154" s="392"/>
      <c r="H154" s="392"/>
      <c r="I154" s="392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3">
        <v>0</v>
      </c>
      <c r="U154" s="392">
        <v>2750000</v>
      </c>
      <c r="V154" s="395">
        <f>+T154-U154</f>
        <v>-2750000</v>
      </c>
      <c r="X154" s="263"/>
      <c r="Y154" s="263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46"/>
      <c r="AK154" s="46"/>
    </row>
    <row r="155" spans="1:37" ht="18" customHeight="1">
      <c r="A155" s="263"/>
      <c r="B155" s="263"/>
      <c r="C155" s="371"/>
      <c r="D155" s="371"/>
      <c r="E155" s="372" t="s">
        <v>312</v>
      </c>
      <c r="F155" s="373"/>
      <c r="G155" s="373">
        <f t="shared" ref="G155:L155" si="88">+G154*0.16</f>
        <v>0</v>
      </c>
      <c r="H155" s="373">
        <f t="shared" si="88"/>
        <v>0</v>
      </c>
      <c r="I155" s="373">
        <f t="shared" si="88"/>
        <v>0</v>
      </c>
      <c r="J155" s="373">
        <f t="shared" si="88"/>
        <v>0</v>
      </c>
      <c r="K155" s="373">
        <f t="shared" si="88"/>
        <v>0</v>
      </c>
      <c r="L155" s="373">
        <f t="shared" si="88"/>
        <v>0</v>
      </c>
      <c r="M155" s="373"/>
      <c r="N155" s="373"/>
      <c r="O155" s="373"/>
      <c r="P155" s="373"/>
      <c r="Q155" s="373"/>
      <c r="R155" s="373"/>
      <c r="S155" s="373"/>
      <c r="T155" s="374">
        <f>+T154*0.16</f>
        <v>0</v>
      </c>
      <c r="U155" s="396">
        <f>+U154*0.16</f>
        <v>440000</v>
      </c>
      <c r="V155" s="396">
        <f>+T155-U155</f>
        <v>-440000</v>
      </c>
      <c r="X155" s="441">
        <f t="shared" ref="X155:AJ155" si="89">+X154*0.16</f>
        <v>0</v>
      </c>
      <c r="Y155" s="441">
        <f t="shared" si="89"/>
        <v>0</v>
      </c>
      <c r="Z155" s="441">
        <f t="shared" si="89"/>
        <v>0</v>
      </c>
      <c r="AA155" s="441">
        <f t="shared" si="89"/>
        <v>0</v>
      </c>
      <c r="AB155" s="441">
        <f t="shared" si="89"/>
        <v>0</v>
      </c>
      <c r="AC155" s="441">
        <f t="shared" si="89"/>
        <v>0</v>
      </c>
      <c r="AD155" s="441">
        <f t="shared" si="89"/>
        <v>0</v>
      </c>
      <c r="AE155" s="441">
        <f t="shared" si="89"/>
        <v>0</v>
      </c>
      <c r="AF155" s="441">
        <f t="shared" si="89"/>
        <v>0</v>
      </c>
      <c r="AG155" s="441">
        <f t="shared" si="89"/>
        <v>0</v>
      </c>
      <c r="AH155" s="441">
        <f t="shared" si="89"/>
        <v>0</v>
      </c>
      <c r="AI155" s="441">
        <f t="shared" si="89"/>
        <v>0</v>
      </c>
      <c r="AJ155" s="441">
        <f t="shared" si="89"/>
        <v>0</v>
      </c>
      <c r="AK155" s="46"/>
    </row>
    <row r="156" spans="1:37" ht="18" customHeight="1">
      <c r="A156" s="263"/>
      <c r="B156" s="263"/>
      <c r="C156" s="397">
        <f>+C154+C155</f>
        <v>0</v>
      </c>
      <c r="D156" s="397">
        <f>+D154+D155</f>
        <v>0</v>
      </c>
      <c r="E156" s="376" t="s">
        <v>313</v>
      </c>
      <c r="F156" s="377"/>
      <c r="G156" s="377">
        <f>+G154+G155</f>
        <v>0</v>
      </c>
      <c r="H156" s="377">
        <f t="shared" ref="H156:T156" si="90">+H154+H155</f>
        <v>0</v>
      </c>
      <c r="I156" s="377">
        <f t="shared" si="90"/>
        <v>0</v>
      </c>
      <c r="J156" s="377">
        <f t="shared" si="90"/>
        <v>0</v>
      </c>
      <c r="K156" s="377">
        <f t="shared" si="90"/>
        <v>0</v>
      </c>
      <c r="L156" s="377">
        <f t="shared" si="90"/>
        <v>0</v>
      </c>
      <c r="M156" s="377">
        <f t="shared" si="90"/>
        <v>0</v>
      </c>
      <c r="N156" s="377">
        <f t="shared" si="90"/>
        <v>0</v>
      </c>
      <c r="O156" s="377">
        <f t="shared" si="90"/>
        <v>0</v>
      </c>
      <c r="P156" s="377">
        <f t="shared" si="90"/>
        <v>0</v>
      </c>
      <c r="Q156" s="377">
        <f t="shared" si="90"/>
        <v>0</v>
      </c>
      <c r="R156" s="377">
        <f t="shared" si="90"/>
        <v>0</v>
      </c>
      <c r="S156" s="377">
        <f t="shared" si="90"/>
        <v>0</v>
      </c>
      <c r="T156" s="378">
        <f t="shared" si="90"/>
        <v>0</v>
      </c>
      <c r="U156" s="379">
        <f>+U154+U155</f>
        <v>3190000</v>
      </c>
      <c r="V156" s="379">
        <f>+T156-U156</f>
        <v>-3190000</v>
      </c>
      <c r="X156" s="378">
        <f>+X154+X155</f>
        <v>0</v>
      </c>
      <c r="Y156" s="378">
        <f t="shared" ref="Y156:AJ156" si="91">+Y154+Y155</f>
        <v>0</v>
      </c>
      <c r="Z156" s="378">
        <f t="shared" si="91"/>
        <v>0</v>
      </c>
      <c r="AA156" s="378">
        <f t="shared" si="91"/>
        <v>0</v>
      </c>
      <c r="AB156" s="378">
        <f t="shared" si="91"/>
        <v>0</v>
      </c>
      <c r="AC156" s="378">
        <f t="shared" si="91"/>
        <v>0</v>
      </c>
      <c r="AD156" s="378">
        <f t="shared" si="91"/>
        <v>0</v>
      </c>
      <c r="AE156" s="378">
        <f t="shared" si="91"/>
        <v>0</v>
      </c>
      <c r="AF156" s="378">
        <f t="shared" si="91"/>
        <v>0</v>
      </c>
      <c r="AG156" s="378">
        <f t="shared" si="91"/>
        <v>0</v>
      </c>
      <c r="AH156" s="378">
        <f t="shared" si="91"/>
        <v>0</v>
      </c>
      <c r="AI156" s="378">
        <f t="shared" si="91"/>
        <v>0</v>
      </c>
      <c r="AJ156" s="378">
        <f t="shared" si="91"/>
        <v>0</v>
      </c>
      <c r="AK156" s="46"/>
    </row>
    <row r="157" spans="1:37" ht="15" customHeight="1">
      <c r="A157" s="263"/>
      <c r="B157" s="263"/>
      <c r="C157" s="398">
        <f>+C151+C156</f>
        <v>534821.05079999997</v>
      </c>
      <c r="D157" s="398">
        <f>+D151+D156</f>
        <v>3417691.0292000002</v>
      </c>
      <c r="E157" s="382" t="s">
        <v>329</v>
      </c>
      <c r="F157" s="399"/>
      <c r="G157" s="383">
        <f t="shared" ref="G157:S157" si="92">+G151+G156</f>
        <v>267210.25719999999</v>
      </c>
      <c r="H157" s="383">
        <f t="shared" si="92"/>
        <v>481402.73759999999</v>
      </c>
      <c r="I157" s="383">
        <f t="shared" si="92"/>
        <v>510946.10480000003</v>
      </c>
      <c r="J157" s="383">
        <f t="shared" si="92"/>
        <v>446123.3676</v>
      </c>
      <c r="K157" s="383">
        <f t="shared" si="92"/>
        <v>271302.84160000004</v>
      </c>
      <c r="L157" s="383">
        <f t="shared" si="92"/>
        <v>887359.15639999986</v>
      </c>
      <c r="M157" s="383">
        <f t="shared" si="92"/>
        <v>359836.26879999996</v>
      </c>
      <c r="N157" s="383">
        <f t="shared" si="92"/>
        <v>333472.39199999999</v>
      </c>
      <c r="O157" s="383">
        <f t="shared" si="92"/>
        <v>1428924.1572000002</v>
      </c>
      <c r="P157" s="383">
        <f t="shared" si="92"/>
        <v>1802258.0584000002</v>
      </c>
      <c r="Q157" s="383">
        <f t="shared" si="92"/>
        <v>1676880.0036000002</v>
      </c>
      <c r="R157" s="383">
        <f t="shared" si="92"/>
        <v>1795842.4</v>
      </c>
      <c r="S157" s="383">
        <f t="shared" si="92"/>
        <v>0</v>
      </c>
      <c r="T157" s="384">
        <f>+T151+T156</f>
        <v>10261557.745200001</v>
      </c>
      <c r="U157" s="400">
        <f>+U151+U156</f>
        <v>22944263.198400002</v>
      </c>
      <c r="V157" s="400">
        <f>+V151+V156</f>
        <v>-12682705.453200001</v>
      </c>
      <c r="X157" s="384">
        <f t="shared" ref="X157:AJ157" si="93">+X151+X156</f>
        <v>2351379.8443999998</v>
      </c>
      <c r="Y157" s="384">
        <f t="shared" si="93"/>
        <v>0</v>
      </c>
      <c r="Z157" s="384">
        <f t="shared" si="93"/>
        <v>0</v>
      </c>
      <c r="AA157" s="384">
        <f t="shared" si="93"/>
        <v>0</v>
      </c>
      <c r="AB157" s="384">
        <f t="shared" si="93"/>
        <v>0</v>
      </c>
      <c r="AC157" s="384">
        <f t="shared" si="93"/>
        <v>0</v>
      </c>
      <c r="AD157" s="384">
        <f t="shared" si="93"/>
        <v>0</v>
      </c>
      <c r="AE157" s="384">
        <f t="shared" si="93"/>
        <v>0</v>
      </c>
      <c r="AF157" s="384">
        <f t="shared" si="93"/>
        <v>0</v>
      </c>
      <c r="AG157" s="384">
        <f t="shared" si="93"/>
        <v>0</v>
      </c>
      <c r="AH157" s="384">
        <f t="shared" si="93"/>
        <v>0</v>
      </c>
      <c r="AI157" s="384">
        <f t="shared" si="93"/>
        <v>0</v>
      </c>
      <c r="AJ157" s="384">
        <f t="shared" si="93"/>
        <v>2351379.8443999998</v>
      </c>
      <c r="AK157" s="46"/>
    </row>
    <row r="158" spans="1:37" ht="9.75" customHeight="1">
      <c r="A158" s="263"/>
      <c r="B158" s="263"/>
      <c r="C158" s="401"/>
      <c r="D158" s="402"/>
      <c r="E158" s="403"/>
      <c r="F158" s="403"/>
      <c r="G158" s="403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402"/>
      <c r="U158" s="401"/>
      <c r="V158" s="404"/>
      <c r="X158" s="403"/>
      <c r="Y158" s="403"/>
      <c r="Z158" s="403"/>
      <c r="AA158" s="403"/>
      <c r="AB158" s="403"/>
      <c r="AC158" s="403"/>
      <c r="AD158" s="403"/>
      <c r="AE158" s="403"/>
      <c r="AF158" s="403"/>
      <c r="AG158" s="403"/>
      <c r="AH158" s="403"/>
      <c r="AI158" s="403"/>
      <c r="AJ158" s="403"/>
      <c r="AK158" s="46"/>
    </row>
    <row r="159" spans="1:37" s="409" customFormat="1" ht="19.5" thickBot="1">
      <c r="A159" s="405"/>
      <c r="B159" s="405"/>
      <c r="C159" s="406">
        <f>+C121-C157</f>
        <v>-1182371.7667999999</v>
      </c>
      <c r="D159" s="406">
        <f>+D121-D157</f>
        <v>1379105.5108000026</v>
      </c>
      <c r="E159" s="407" t="s">
        <v>317</v>
      </c>
      <c r="F159" s="407"/>
      <c r="G159" s="406">
        <f t="shared" ref="G159:U159" si="94">+G121-G157</f>
        <v>-441613.60720000009</v>
      </c>
      <c r="H159" s="406">
        <f t="shared" si="94"/>
        <v>2328347.3323999997</v>
      </c>
      <c r="I159" s="406">
        <f t="shared" si="94"/>
        <v>-1265189.4308000004</v>
      </c>
      <c r="J159" s="406">
        <f t="shared" si="94"/>
        <v>-1046887.6775999999</v>
      </c>
      <c r="K159" s="406">
        <f t="shared" si="94"/>
        <v>102790.30840000033</v>
      </c>
      <c r="L159" s="406">
        <f t="shared" si="94"/>
        <v>-891552.66639999964</v>
      </c>
      <c r="M159" s="406">
        <f t="shared" si="94"/>
        <v>493124.49120000028</v>
      </c>
      <c r="N159" s="406">
        <f t="shared" si="94"/>
        <v>-170057.59199999995</v>
      </c>
      <c r="O159" s="406">
        <f t="shared" si="94"/>
        <v>146171.40279999957</v>
      </c>
      <c r="P159" s="406">
        <f t="shared" si="94"/>
        <v>312410.0615999999</v>
      </c>
      <c r="Q159" s="406">
        <f t="shared" si="94"/>
        <v>-62209.323599999538</v>
      </c>
      <c r="R159" s="406">
        <f t="shared" si="94"/>
        <v>-1295056.3999999999</v>
      </c>
      <c r="S159" s="406">
        <f t="shared" si="94"/>
        <v>0</v>
      </c>
      <c r="T159" s="406">
        <f t="shared" si="94"/>
        <v>-1789723.1011999995</v>
      </c>
      <c r="U159" s="406">
        <f t="shared" si="94"/>
        <v>2927730.9515999965</v>
      </c>
      <c r="V159" s="406">
        <f>+V121-V157</f>
        <v>-4634576.0527999997</v>
      </c>
      <c r="W159" s="408"/>
      <c r="X159" s="406">
        <f t="shared" ref="X159:AJ159" si="95">+X121-X157</f>
        <v>-2128263.380233333</v>
      </c>
      <c r="Y159" s="406">
        <f t="shared" si="95"/>
        <v>251618.82766666682</v>
      </c>
      <c r="Z159" s="406">
        <f t="shared" si="95"/>
        <v>64846.432366667083</v>
      </c>
      <c r="AA159" s="406">
        <f t="shared" si="95"/>
        <v>303382.05816666712</v>
      </c>
      <c r="AB159" s="406">
        <f t="shared" si="95"/>
        <v>96812.300166666741</v>
      </c>
      <c r="AC159" s="406">
        <f t="shared" si="95"/>
        <v>-161364.48183333268</v>
      </c>
      <c r="AD159" s="406">
        <f t="shared" si="95"/>
        <v>95482.565666666953</v>
      </c>
      <c r="AE159" s="406">
        <f t="shared" si="95"/>
        <v>227598.999166667</v>
      </c>
      <c r="AF159" s="406">
        <f t="shared" si="95"/>
        <v>23071.21016666689</v>
      </c>
      <c r="AG159" s="406">
        <f t="shared" si="95"/>
        <v>-158402.78733333317</v>
      </c>
      <c r="AH159" s="406">
        <f t="shared" si="95"/>
        <v>-10460.593333333032</v>
      </c>
      <c r="AI159" s="406">
        <f t="shared" si="95"/>
        <v>-655508.26025833352</v>
      </c>
      <c r="AJ159" s="406">
        <f t="shared" si="95"/>
        <v>-2051187.1096249893</v>
      </c>
      <c r="AK159" s="421"/>
    </row>
    <row r="160" spans="1:37" s="409" customFormat="1" ht="9" customHeight="1" thickTop="1">
      <c r="A160" s="405"/>
      <c r="B160" s="405"/>
      <c r="C160" s="410"/>
      <c r="D160" s="315"/>
      <c r="E160" s="393"/>
      <c r="F160" s="393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410"/>
      <c r="V160" s="411"/>
      <c r="W160" s="408"/>
      <c r="X160" s="263"/>
      <c r="Y160" s="263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421"/>
      <c r="AK160" s="421"/>
    </row>
    <row r="161" spans="1:37" ht="18.75">
      <c r="D161" s="402">
        <v>4488678.2600000007</v>
      </c>
      <c r="E161" s="260" t="s">
        <v>330</v>
      </c>
      <c r="G161" s="412">
        <v>375881.08</v>
      </c>
      <c r="H161" s="412">
        <v>375881.08</v>
      </c>
      <c r="I161" s="412">
        <v>375881.08</v>
      </c>
      <c r="J161" s="412">
        <v>375881.08</v>
      </c>
      <c r="K161" s="412">
        <v>375881.08</v>
      </c>
      <c r="L161" s="412">
        <v>375881.08</v>
      </c>
      <c r="M161" s="412">
        <v>375881.08</v>
      </c>
      <c r="N161" s="412">
        <v>375881.08</v>
      </c>
      <c r="O161" s="412">
        <v>375881.08</v>
      </c>
      <c r="P161" s="413">
        <v>375881.08</v>
      </c>
      <c r="Q161" s="413">
        <v>375881.08</v>
      </c>
      <c r="R161" s="413">
        <v>375881.08</v>
      </c>
      <c r="S161" s="413"/>
      <c r="T161" s="294">
        <f>SUM(G161:S161)</f>
        <v>4510572.96</v>
      </c>
      <c r="U161" s="402">
        <f>SUM(H161:Q161)</f>
        <v>3758810.8000000003</v>
      </c>
      <c r="V161" s="414"/>
      <c r="X161" s="263"/>
      <c r="Y161" s="263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46"/>
      <c r="AK161" s="46"/>
    </row>
    <row r="162" spans="1:37">
      <c r="O162" s="416"/>
      <c r="P162" s="416"/>
      <c r="Q162" s="416"/>
      <c r="R162" s="417"/>
      <c r="S162" s="417"/>
      <c r="T162" s="418"/>
      <c r="X162" s="263"/>
      <c r="Y162" s="263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46"/>
      <c r="AK162" s="46"/>
    </row>
    <row r="163" spans="1:37">
      <c r="H163" s="418"/>
      <c r="I163" s="418"/>
      <c r="J163" s="418"/>
      <c r="K163" s="418"/>
      <c r="L163" s="418"/>
      <c r="M163" s="418"/>
      <c r="N163" s="418"/>
      <c r="O163" s="418"/>
      <c r="P163" s="416"/>
      <c r="Q163" s="416"/>
      <c r="R163" s="417"/>
      <c r="S163" s="417"/>
      <c r="T163" s="419">
        <f>+T121-T150-T161</f>
        <v>2545874.4088000013</v>
      </c>
      <c r="X163" s="263"/>
      <c r="Y163" s="263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46"/>
      <c r="AK163" s="46"/>
    </row>
    <row r="164" spans="1:37" s="261" customFormat="1">
      <c r="A164" s="260"/>
      <c r="B164" s="260"/>
      <c r="C164" s="177"/>
      <c r="D164" s="177"/>
      <c r="E164" s="260"/>
      <c r="F164" s="260"/>
      <c r="G164" s="260"/>
      <c r="H164" s="418"/>
      <c r="I164" s="418"/>
      <c r="J164" s="419"/>
      <c r="K164" s="419"/>
      <c r="L164" s="418"/>
      <c r="M164" s="418"/>
      <c r="N164" s="418"/>
      <c r="O164" s="416"/>
      <c r="P164" s="416"/>
      <c r="Q164" s="416"/>
      <c r="R164" s="417"/>
      <c r="S164" s="417"/>
      <c r="T164" s="419"/>
      <c r="U164" s="265"/>
      <c r="W164" s="262"/>
      <c r="X164" s="425"/>
      <c r="Y164" s="425"/>
      <c r="Z164" s="426"/>
      <c r="AA164" s="426"/>
      <c r="AB164" s="426"/>
      <c r="AC164" s="426"/>
      <c r="AD164" s="426"/>
      <c r="AE164" s="426"/>
      <c r="AF164" s="426"/>
      <c r="AG164" s="426"/>
      <c r="AH164" s="426"/>
      <c r="AI164" s="426"/>
      <c r="AJ164" s="422"/>
      <c r="AK164" s="422"/>
    </row>
    <row r="165" spans="1:37" s="261" customFormat="1">
      <c r="A165" s="260"/>
      <c r="B165" s="260"/>
      <c r="C165" s="177"/>
      <c r="D165" s="177"/>
      <c r="E165" s="260"/>
      <c r="F165" s="260"/>
      <c r="G165" s="260"/>
      <c r="H165" s="415"/>
      <c r="I165" s="415"/>
      <c r="J165" s="419"/>
      <c r="K165" s="415"/>
      <c r="L165" s="415"/>
      <c r="M165" s="415"/>
      <c r="N165" s="415"/>
      <c r="O165" s="416"/>
      <c r="P165" s="416"/>
      <c r="Q165" s="416"/>
      <c r="R165" s="417"/>
      <c r="S165" s="417"/>
      <c r="T165" s="420"/>
      <c r="U165" s="265"/>
      <c r="W165" s="262"/>
      <c r="X165" s="425"/>
      <c r="Y165" s="425"/>
      <c r="Z165" s="426"/>
      <c r="AA165" s="426"/>
      <c r="AB165" s="426"/>
      <c r="AC165" s="426"/>
      <c r="AD165" s="426"/>
      <c r="AE165" s="426"/>
      <c r="AF165" s="426"/>
      <c r="AG165" s="426"/>
      <c r="AH165" s="426"/>
      <c r="AI165" s="426"/>
      <c r="AJ165" s="422"/>
      <c r="AK165" s="422"/>
    </row>
    <row r="166" spans="1:37" s="261" customFormat="1">
      <c r="A166" s="260"/>
      <c r="B166" s="260"/>
      <c r="C166" s="177"/>
      <c r="D166" s="177"/>
      <c r="E166" s="260"/>
      <c r="F166" s="260"/>
      <c r="G166" s="260"/>
      <c r="H166" s="415"/>
      <c r="I166" s="415"/>
      <c r="J166" s="415"/>
      <c r="K166" s="419"/>
      <c r="L166" s="415"/>
      <c r="M166" s="415"/>
      <c r="N166" s="415"/>
      <c r="O166" s="416"/>
      <c r="P166" s="416"/>
      <c r="Q166" s="416"/>
      <c r="R166" s="417"/>
      <c r="S166" s="417"/>
      <c r="T166" s="419"/>
      <c r="U166" s="265"/>
      <c r="W166" s="262"/>
      <c r="X166" s="425"/>
      <c r="Y166" s="425"/>
      <c r="Z166" s="426"/>
      <c r="AA166" s="426"/>
      <c r="AB166" s="426"/>
      <c r="AC166" s="426"/>
      <c r="AD166" s="426"/>
      <c r="AE166" s="426"/>
      <c r="AF166" s="426"/>
      <c r="AG166" s="426"/>
      <c r="AH166" s="426"/>
      <c r="AI166" s="426"/>
      <c r="AJ166" s="422"/>
      <c r="AK166" s="422"/>
    </row>
    <row r="167" spans="1:37" s="261" customFormat="1">
      <c r="A167" s="260"/>
      <c r="B167" s="260"/>
      <c r="C167" s="177"/>
      <c r="D167" s="177"/>
      <c r="E167" s="260"/>
      <c r="F167" s="260"/>
      <c r="G167" s="260"/>
      <c r="H167" s="415"/>
      <c r="I167" s="415"/>
      <c r="J167" s="415"/>
      <c r="K167" s="415"/>
      <c r="L167" s="415"/>
      <c r="M167" s="415"/>
      <c r="N167" s="415"/>
      <c r="O167" s="416"/>
      <c r="P167" s="416"/>
      <c r="Q167" s="416"/>
      <c r="R167" s="416"/>
      <c r="S167" s="416"/>
      <c r="T167" s="415"/>
      <c r="U167" s="265"/>
      <c r="W167" s="262"/>
      <c r="X167" s="425"/>
      <c r="Y167" s="425"/>
      <c r="Z167" s="426"/>
      <c r="AA167" s="426"/>
      <c r="AB167" s="426"/>
      <c r="AC167" s="426"/>
      <c r="AD167" s="426"/>
      <c r="AE167" s="426"/>
      <c r="AF167" s="426"/>
      <c r="AG167" s="426"/>
      <c r="AH167" s="426"/>
      <c r="AI167" s="426"/>
      <c r="AJ167" s="422"/>
      <c r="AK167" s="422"/>
    </row>
    <row r="168" spans="1:37" s="261" customFormat="1">
      <c r="A168" s="260"/>
      <c r="B168" s="260"/>
      <c r="C168" s="177"/>
      <c r="D168" s="177"/>
      <c r="E168" s="260"/>
      <c r="F168" s="260"/>
      <c r="G168" s="260"/>
      <c r="H168" s="415"/>
      <c r="I168" s="415"/>
      <c r="J168" s="415"/>
      <c r="K168" s="415"/>
      <c r="L168" s="415"/>
      <c r="M168" s="415"/>
      <c r="N168" s="415"/>
      <c r="O168" s="416"/>
      <c r="P168" s="416"/>
      <c r="Q168" s="416"/>
      <c r="R168" s="417"/>
      <c r="S168" s="417"/>
      <c r="T168" s="419"/>
      <c r="U168" s="265"/>
      <c r="W168" s="262"/>
      <c r="X168" s="425"/>
      <c r="Y168" s="425"/>
      <c r="Z168" s="426"/>
      <c r="AA168" s="426"/>
      <c r="AB168" s="426"/>
      <c r="AC168" s="426"/>
      <c r="AD168" s="426"/>
      <c r="AE168" s="426"/>
      <c r="AF168" s="426"/>
      <c r="AG168" s="426"/>
      <c r="AH168" s="426"/>
      <c r="AI168" s="426"/>
      <c r="AJ168" s="422"/>
      <c r="AK168" s="422"/>
    </row>
    <row r="169" spans="1:37" s="261" customFormat="1">
      <c r="A169" s="260"/>
      <c r="B169" s="260"/>
      <c r="C169" s="177"/>
      <c r="D169" s="177"/>
      <c r="E169" s="260"/>
      <c r="F169" s="260"/>
      <c r="G169" s="260"/>
      <c r="H169" s="415"/>
      <c r="I169" s="415"/>
      <c r="J169" s="415"/>
      <c r="K169" s="415"/>
      <c r="L169" s="415"/>
      <c r="M169" s="415"/>
      <c r="N169" s="415"/>
      <c r="O169" s="416"/>
      <c r="P169" s="416"/>
      <c r="Q169" s="416"/>
      <c r="R169" s="417"/>
      <c r="S169" s="417"/>
      <c r="T169" s="420"/>
      <c r="U169" s="265"/>
      <c r="W169" s="262"/>
      <c r="X169" s="425"/>
      <c r="Y169" s="425"/>
      <c r="Z169" s="426"/>
      <c r="AA169" s="426"/>
      <c r="AB169" s="426"/>
      <c r="AC169" s="426"/>
      <c r="AD169" s="426"/>
      <c r="AE169" s="426"/>
      <c r="AF169" s="426"/>
      <c r="AG169" s="426"/>
      <c r="AH169" s="426"/>
      <c r="AI169" s="426"/>
      <c r="AJ169" s="422"/>
      <c r="AK169" s="422"/>
    </row>
    <row r="170" spans="1:37" s="261" customFormat="1">
      <c r="A170" s="260"/>
      <c r="B170" s="260"/>
      <c r="C170" s="177"/>
      <c r="D170" s="177"/>
      <c r="E170" s="260"/>
      <c r="F170" s="260"/>
      <c r="G170" s="260"/>
      <c r="H170" s="415"/>
      <c r="I170" s="415"/>
      <c r="J170" s="415"/>
      <c r="K170" s="415"/>
      <c r="L170" s="415"/>
      <c r="M170" s="415"/>
      <c r="N170" s="415"/>
      <c r="O170" s="416"/>
      <c r="P170" s="416"/>
      <c r="Q170" s="416"/>
      <c r="R170" s="416"/>
      <c r="S170" s="416"/>
      <c r="T170" s="420"/>
      <c r="U170" s="265"/>
      <c r="W170" s="262"/>
      <c r="X170" s="425"/>
      <c r="Y170" s="425"/>
      <c r="Z170" s="426"/>
      <c r="AA170" s="426"/>
      <c r="AB170" s="426"/>
      <c r="AC170" s="426"/>
      <c r="AD170" s="426"/>
      <c r="AE170" s="426"/>
      <c r="AF170" s="426"/>
      <c r="AG170" s="426"/>
      <c r="AH170" s="426"/>
      <c r="AI170" s="426"/>
      <c r="AJ170" s="422"/>
      <c r="AK170" s="422"/>
    </row>
    <row r="171" spans="1:37" s="261" customFormat="1">
      <c r="A171" s="260"/>
      <c r="B171" s="260"/>
      <c r="C171" s="177"/>
      <c r="D171" s="177"/>
      <c r="E171" s="260"/>
      <c r="F171" s="260"/>
      <c r="G171" s="260"/>
      <c r="H171" s="415"/>
      <c r="I171" s="415"/>
      <c r="J171" s="415"/>
      <c r="K171" s="415"/>
      <c r="L171" s="415"/>
      <c r="M171" s="415"/>
      <c r="N171" s="415"/>
      <c r="O171" s="415"/>
      <c r="P171" s="415"/>
      <c r="Q171" s="415"/>
      <c r="R171" s="415"/>
      <c r="S171" s="415"/>
      <c r="T171" s="420"/>
      <c r="U171" s="265"/>
      <c r="W171" s="262"/>
      <c r="X171" s="425"/>
      <c r="Y171" s="425"/>
      <c r="Z171" s="426"/>
      <c r="AA171" s="426"/>
      <c r="AB171" s="426"/>
      <c r="AC171" s="426"/>
      <c r="AD171" s="426"/>
      <c r="AE171" s="426"/>
      <c r="AF171" s="426"/>
      <c r="AG171" s="426"/>
      <c r="AH171" s="426"/>
      <c r="AI171" s="426"/>
      <c r="AJ171" s="422"/>
      <c r="AK171" s="422"/>
    </row>
    <row r="172" spans="1:37" s="261" customFormat="1">
      <c r="A172" s="260"/>
      <c r="B172" s="260"/>
      <c r="C172" s="177"/>
      <c r="D172" s="177"/>
      <c r="E172" s="260"/>
      <c r="F172" s="260"/>
      <c r="G172" s="260"/>
      <c r="H172" s="415"/>
      <c r="I172" s="415"/>
      <c r="J172" s="415"/>
      <c r="K172" s="415"/>
      <c r="L172" s="415"/>
      <c r="M172" s="415"/>
      <c r="N172" s="415"/>
      <c r="O172" s="415"/>
      <c r="P172" s="415"/>
      <c r="Q172" s="415"/>
      <c r="R172" s="415"/>
      <c r="S172" s="415"/>
      <c r="T172" s="420"/>
      <c r="U172" s="265"/>
      <c r="W172" s="262"/>
      <c r="X172" s="425"/>
      <c r="Y172" s="425"/>
      <c r="Z172" s="426"/>
      <c r="AA172" s="426"/>
      <c r="AB172" s="426"/>
      <c r="AC172" s="426"/>
      <c r="AD172" s="426"/>
      <c r="AE172" s="426"/>
      <c r="AF172" s="426"/>
      <c r="AG172" s="426"/>
      <c r="AH172" s="426"/>
      <c r="AI172" s="426"/>
      <c r="AJ172" s="422"/>
      <c r="AK172" s="422"/>
    </row>
    <row r="173" spans="1:37" s="261" customFormat="1">
      <c r="A173" s="260"/>
      <c r="B173" s="260"/>
      <c r="C173" s="177"/>
      <c r="D173" s="177"/>
      <c r="E173" s="260"/>
      <c r="F173" s="260"/>
      <c r="G173" s="260"/>
      <c r="H173" s="415"/>
      <c r="I173" s="415"/>
      <c r="J173" s="415"/>
      <c r="K173" s="415"/>
      <c r="L173" s="415"/>
      <c r="M173" s="415"/>
      <c r="N173" s="415"/>
      <c r="O173" s="415"/>
      <c r="P173" s="415"/>
      <c r="Q173" s="415"/>
      <c r="R173" s="415"/>
      <c r="S173" s="415"/>
      <c r="T173" s="420"/>
      <c r="U173" s="265"/>
      <c r="W173" s="262"/>
      <c r="X173" s="425"/>
      <c r="Y173" s="425"/>
      <c r="Z173" s="425"/>
      <c r="AA173" s="425"/>
      <c r="AB173" s="425"/>
      <c r="AC173" s="425"/>
      <c r="AD173" s="425"/>
      <c r="AE173" s="425"/>
      <c r="AF173" s="425"/>
      <c r="AG173" s="425"/>
      <c r="AH173" s="425"/>
      <c r="AI173" s="425"/>
    </row>
    <row r="174" spans="1:37" s="261" customFormat="1">
      <c r="A174" s="260"/>
      <c r="B174" s="260"/>
      <c r="C174" s="177"/>
      <c r="D174" s="177"/>
      <c r="E174" s="260"/>
      <c r="F174" s="260"/>
      <c r="G174" s="260"/>
      <c r="H174" s="415"/>
      <c r="I174" s="415"/>
      <c r="J174" s="415"/>
      <c r="K174" s="415"/>
      <c r="L174" s="415"/>
      <c r="M174" s="415"/>
      <c r="N174" s="415"/>
      <c r="O174" s="415"/>
      <c r="P174" s="415"/>
      <c r="Q174" s="415"/>
      <c r="R174" s="415"/>
      <c r="S174" s="415"/>
      <c r="T174" s="420"/>
      <c r="U174" s="265"/>
      <c r="W174" s="262"/>
    </row>
  </sheetData>
  <mergeCells count="2">
    <mergeCell ref="C1:U1"/>
    <mergeCell ref="E3:T3"/>
  </mergeCells>
  <pageMargins left="0.59055118110236227" right="0.82677165354330717" top="0.59055118110236227" bottom="0" header="0" footer="0"/>
  <pageSetup scale="4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2"/>
  <sheetViews>
    <sheetView showGridLines="0" zoomScale="87" zoomScaleNormal="87" workbookViewId="0">
      <pane xSplit="4" ySplit="3" topLeftCell="L29" activePane="bottomRight" state="frozen"/>
      <selection pane="topRight" activeCell="C1" sqref="C1"/>
      <selection pane="bottomLeft" activeCell="A4" sqref="A4"/>
      <selection pane="bottomRight" activeCell="Q52" sqref="Q52"/>
    </sheetView>
  </sheetViews>
  <sheetFormatPr baseColWidth="10" defaultRowHeight="12.75"/>
  <cols>
    <col min="1" max="1" width="3.5703125" customWidth="1"/>
    <col min="2" max="3" width="6.7109375" customWidth="1"/>
    <col min="4" max="4" width="50" customWidth="1"/>
    <col min="5" max="5" width="16.5703125" hidden="1" customWidth="1"/>
    <col min="6" max="6" width="16.5703125" style="159" hidden="1" customWidth="1"/>
    <col min="7" max="7" width="16.85546875" style="159" hidden="1" customWidth="1"/>
    <col min="8" max="8" width="13" style="1" hidden="1" customWidth="1"/>
    <col min="9" max="9" width="12.7109375" style="1" hidden="1" customWidth="1"/>
    <col min="10" max="10" width="14.42578125" hidden="1" customWidth="1"/>
    <col min="11" max="11" width="39.85546875" hidden="1" customWidth="1"/>
    <col min="12" max="13" width="11.42578125" style="160"/>
    <col min="14" max="14" width="12.5703125" style="160" bestFit="1" customWidth="1"/>
    <col min="16" max="17" width="12.5703125" bestFit="1" customWidth="1"/>
    <col min="18" max="18" width="11.42578125" style="161"/>
    <col min="19" max="19" width="11.5703125" bestFit="1" customWidth="1"/>
    <col min="20" max="20" width="12.5703125" bestFit="1" customWidth="1"/>
  </cols>
  <sheetData>
    <row r="1" spans="1:20" ht="26.25">
      <c r="B1" s="158"/>
      <c r="C1" s="158"/>
    </row>
    <row r="2" spans="1:20" ht="15.75">
      <c r="B2" s="162" t="s">
        <v>331</v>
      </c>
      <c r="C2" s="162"/>
      <c r="E2" s="73"/>
      <c r="F2" s="163"/>
      <c r="G2" s="163"/>
      <c r="I2" s="164"/>
    </row>
    <row r="3" spans="1:20" s="171" customFormat="1" ht="42" customHeight="1">
      <c r="B3" s="165" t="s">
        <v>148</v>
      </c>
      <c r="C3" s="165"/>
      <c r="D3" s="165" t="s">
        <v>149</v>
      </c>
      <c r="E3" s="165" t="s">
        <v>150</v>
      </c>
      <c r="F3" s="166" t="s">
        <v>151</v>
      </c>
      <c r="G3" s="165" t="s">
        <v>152</v>
      </c>
      <c r="H3" s="167" t="s">
        <v>153</v>
      </c>
      <c r="I3" s="167" t="s">
        <v>154</v>
      </c>
      <c r="J3" s="165" t="s">
        <v>155</v>
      </c>
      <c r="K3" s="165" t="s">
        <v>156</v>
      </c>
      <c r="L3" s="168"/>
      <c r="M3" s="169">
        <v>5.3999999999999999E-2</v>
      </c>
      <c r="N3" s="169" t="s">
        <v>332</v>
      </c>
      <c r="O3" s="170" t="s">
        <v>157</v>
      </c>
      <c r="P3" s="170" t="s">
        <v>158</v>
      </c>
      <c r="Q3" s="171" t="s">
        <v>336</v>
      </c>
      <c r="R3" s="172" t="s">
        <v>159</v>
      </c>
      <c r="S3" s="170" t="s">
        <v>160</v>
      </c>
      <c r="T3" s="170" t="s">
        <v>161</v>
      </c>
    </row>
    <row r="4" spans="1:20">
      <c r="A4">
        <v>14</v>
      </c>
      <c r="B4" s="173">
        <v>1</v>
      </c>
      <c r="C4" s="174" t="s">
        <v>162</v>
      </c>
      <c r="D4" s="173" t="s">
        <v>163</v>
      </c>
      <c r="E4" s="173" t="s">
        <v>164</v>
      </c>
      <c r="F4" s="175">
        <v>29095</v>
      </c>
      <c r="G4" s="175">
        <v>39411</v>
      </c>
      <c r="H4" s="176">
        <v>21697.696</v>
      </c>
      <c r="I4" s="176">
        <v>22678.431859199998</v>
      </c>
      <c r="J4" s="173" t="s">
        <v>165</v>
      </c>
      <c r="K4" s="174" t="s">
        <v>166</v>
      </c>
      <c r="L4" s="178">
        <v>749.43</v>
      </c>
      <c r="M4" s="160">
        <f>+L4*$M$3</f>
        <v>40.46922</v>
      </c>
      <c r="N4" s="160">
        <f>+L4+M4</f>
        <v>789.8992199999999</v>
      </c>
      <c r="O4" s="177">
        <f>+N4*7</f>
        <v>5529.294539999999</v>
      </c>
      <c r="Q4" s="58">
        <f>+N4*A4</f>
        <v>11058.589079999998</v>
      </c>
      <c r="R4" s="178">
        <f>+N4*1.0452</f>
        <v>825.60266474399987</v>
      </c>
      <c r="S4" s="177">
        <v>1828.52</v>
      </c>
      <c r="T4" s="177">
        <v>5496.56</v>
      </c>
    </row>
    <row r="5" spans="1:20">
      <c r="A5">
        <v>14</v>
      </c>
      <c r="B5" s="173">
        <v>2</v>
      </c>
      <c r="C5" s="174" t="s">
        <v>162</v>
      </c>
      <c r="D5" s="173" t="s">
        <v>167</v>
      </c>
      <c r="E5" s="173" t="s">
        <v>168</v>
      </c>
      <c r="F5" s="175">
        <v>28180</v>
      </c>
      <c r="G5" s="175">
        <v>39261</v>
      </c>
      <c r="H5" s="176">
        <v>8234.7519999999986</v>
      </c>
      <c r="I5" s="176">
        <v>8606.9627903999972</v>
      </c>
      <c r="J5" s="173" t="s">
        <v>169</v>
      </c>
      <c r="K5" s="174" t="s">
        <v>47</v>
      </c>
      <c r="L5" s="178">
        <v>284.42</v>
      </c>
      <c r="M5" s="160">
        <f t="shared" ref="M5:M29" si="0">+L5*$M$3</f>
        <v>15.358680000000001</v>
      </c>
      <c r="N5" s="160">
        <f t="shared" ref="N5:N29" si="1">+L5+M5</f>
        <v>299.77868000000001</v>
      </c>
      <c r="O5" s="177">
        <f t="shared" ref="O5:O29" si="2">+N5*7</f>
        <v>2098.4507600000002</v>
      </c>
      <c r="Q5" s="58">
        <f t="shared" ref="Q5:Q48" si="3">+N5*A5</f>
        <v>4196.9015200000003</v>
      </c>
      <c r="R5" s="178">
        <f t="shared" ref="R5:R48" si="4">+N5*1.0452</f>
        <v>313.328676336</v>
      </c>
      <c r="S5" s="177">
        <v>880.1</v>
      </c>
      <c r="T5" s="177">
        <v>2086.04</v>
      </c>
    </row>
    <row r="6" spans="1:20">
      <c r="A6">
        <v>8</v>
      </c>
      <c r="B6" s="173">
        <v>3</v>
      </c>
      <c r="C6" s="174" t="s">
        <v>162</v>
      </c>
      <c r="D6" s="173" t="s">
        <v>170</v>
      </c>
      <c r="E6" s="173" t="s">
        <v>171</v>
      </c>
      <c r="F6" s="175">
        <v>25326</v>
      </c>
      <c r="G6" s="175">
        <v>40259</v>
      </c>
      <c r="H6" s="176">
        <v>3969.3279999999995</v>
      </c>
      <c r="I6" s="176">
        <v>4148.7416255999988</v>
      </c>
      <c r="J6" s="173" t="s">
        <v>172</v>
      </c>
      <c r="K6" s="174" t="s">
        <v>173</v>
      </c>
      <c r="L6" s="178">
        <v>137.1</v>
      </c>
      <c r="M6" s="160">
        <f t="shared" si="0"/>
        <v>7.4033999999999995</v>
      </c>
      <c r="N6" s="160">
        <f t="shared" si="1"/>
        <v>144.5034</v>
      </c>
      <c r="O6" s="177">
        <f t="shared" si="2"/>
        <v>1011.5237999999999</v>
      </c>
      <c r="Q6" s="58">
        <f t="shared" si="3"/>
        <v>1156.0272</v>
      </c>
      <c r="R6" s="178">
        <f t="shared" si="4"/>
        <v>151.03495367999997</v>
      </c>
      <c r="S6" s="177">
        <v>591.73</v>
      </c>
      <c r="T6" s="177">
        <v>1005.51</v>
      </c>
    </row>
    <row r="7" spans="1:20">
      <c r="A7">
        <v>10</v>
      </c>
      <c r="B7" s="173">
        <v>4</v>
      </c>
      <c r="C7" s="174" t="s">
        <v>162</v>
      </c>
      <c r="D7" s="173" t="s">
        <v>174</v>
      </c>
      <c r="E7" s="173" t="s">
        <v>175</v>
      </c>
      <c r="F7" s="175">
        <v>27162</v>
      </c>
      <c r="G7" s="175">
        <v>40127</v>
      </c>
      <c r="H7" s="176">
        <v>8234.7519999999986</v>
      </c>
      <c r="I7" s="176">
        <v>8606.9627903999972</v>
      </c>
      <c r="J7" s="173" t="s">
        <v>176</v>
      </c>
      <c r="K7" s="174" t="s">
        <v>47</v>
      </c>
      <c r="L7" s="178">
        <v>284.42</v>
      </c>
      <c r="M7" s="160">
        <f t="shared" si="0"/>
        <v>15.358680000000001</v>
      </c>
      <c r="N7" s="160">
        <f t="shared" si="1"/>
        <v>299.77868000000001</v>
      </c>
      <c r="O7" s="177">
        <f t="shared" si="2"/>
        <v>2098.4507600000002</v>
      </c>
      <c r="Q7" s="58">
        <f t="shared" si="3"/>
        <v>2997.7867999999999</v>
      </c>
      <c r="R7" s="178">
        <f t="shared" si="4"/>
        <v>313.328676336</v>
      </c>
      <c r="S7" s="177">
        <v>880.1</v>
      </c>
      <c r="T7" s="177">
        <v>2086</v>
      </c>
    </row>
    <row r="8" spans="1:20">
      <c r="A8">
        <v>14</v>
      </c>
      <c r="B8" s="173">
        <v>5</v>
      </c>
      <c r="C8" s="174" t="s">
        <v>162</v>
      </c>
      <c r="D8" s="173" t="s">
        <v>177</v>
      </c>
      <c r="E8" s="173" t="s">
        <v>178</v>
      </c>
      <c r="F8" s="175">
        <v>30211</v>
      </c>
      <c r="G8" s="175">
        <v>38928</v>
      </c>
      <c r="H8" s="176">
        <v>3969.3279999999995</v>
      </c>
      <c r="I8" s="176">
        <v>4148.7416255999988</v>
      </c>
      <c r="J8" s="173" t="s">
        <v>179</v>
      </c>
      <c r="K8" s="174" t="s">
        <v>173</v>
      </c>
      <c r="L8" s="178">
        <v>137.1</v>
      </c>
      <c r="M8" s="160">
        <f t="shared" si="0"/>
        <v>7.4033999999999995</v>
      </c>
      <c r="N8" s="160">
        <f t="shared" si="1"/>
        <v>144.5034</v>
      </c>
      <c r="O8" s="177">
        <f t="shared" si="2"/>
        <v>1011.5237999999999</v>
      </c>
      <c r="Q8" s="58">
        <f t="shared" si="3"/>
        <v>2023.0475999999999</v>
      </c>
      <c r="R8" s="178">
        <f t="shared" si="4"/>
        <v>151.03495367999997</v>
      </c>
      <c r="S8" s="177">
        <v>591.73</v>
      </c>
      <c r="T8" s="177">
        <v>1006</v>
      </c>
    </row>
    <row r="9" spans="1:20">
      <c r="A9">
        <v>14</v>
      </c>
      <c r="B9" s="173">
        <v>6</v>
      </c>
      <c r="C9" s="174" t="s">
        <v>162</v>
      </c>
      <c r="D9" s="173" t="s">
        <v>180</v>
      </c>
      <c r="E9" s="173" t="s">
        <v>181</v>
      </c>
      <c r="F9" s="175">
        <v>27271</v>
      </c>
      <c r="G9" s="175">
        <v>38942</v>
      </c>
      <c r="H9" s="176">
        <v>4513.4879999999994</v>
      </c>
      <c r="I9" s="176">
        <v>4717.497657599999</v>
      </c>
      <c r="J9" s="173" t="s">
        <v>182</v>
      </c>
      <c r="K9" s="174" t="s">
        <v>173</v>
      </c>
      <c r="L9" s="178">
        <v>155.88999999999999</v>
      </c>
      <c r="M9" s="160">
        <f t="shared" si="0"/>
        <v>8.4180599999999988</v>
      </c>
      <c r="N9" s="160">
        <f t="shared" si="1"/>
        <v>164.30805999999998</v>
      </c>
      <c r="O9" s="177">
        <f t="shared" si="2"/>
        <v>1150.1564199999998</v>
      </c>
      <c r="Q9" s="58">
        <f t="shared" si="3"/>
        <v>2300.3128399999996</v>
      </c>
      <c r="R9" s="178">
        <f t="shared" si="4"/>
        <v>171.73478431199996</v>
      </c>
      <c r="S9" s="177">
        <v>623.04</v>
      </c>
      <c r="T9" s="177">
        <v>1143.3699999999999</v>
      </c>
    </row>
    <row r="10" spans="1:20">
      <c r="A10">
        <v>14</v>
      </c>
      <c r="B10" s="173">
        <v>7</v>
      </c>
      <c r="C10" s="174" t="s">
        <v>162</v>
      </c>
      <c r="D10" s="173" t="s">
        <v>183</v>
      </c>
      <c r="E10" s="173" t="s">
        <v>184</v>
      </c>
      <c r="F10" s="175">
        <v>20533</v>
      </c>
      <c r="G10" s="175">
        <v>39181</v>
      </c>
      <c r="H10" s="176">
        <v>3969.3279999999995</v>
      </c>
      <c r="I10" s="176">
        <v>4148.7416255999988</v>
      </c>
      <c r="J10" s="173" t="s">
        <v>185</v>
      </c>
      <c r="K10" s="174" t="s">
        <v>173</v>
      </c>
      <c r="L10" s="178">
        <v>137.1</v>
      </c>
      <c r="M10" s="160">
        <f t="shared" si="0"/>
        <v>7.4033999999999995</v>
      </c>
      <c r="N10" s="160">
        <f t="shared" si="1"/>
        <v>144.5034</v>
      </c>
      <c r="O10" s="177">
        <f t="shared" si="2"/>
        <v>1011.5237999999999</v>
      </c>
      <c r="Q10" s="58">
        <f t="shared" si="3"/>
        <v>2023.0475999999999</v>
      </c>
      <c r="R10" s="178">
        <f t="shared" si="4"/>
        <v>151.03495367999997</v>
      </c>
      <c r="S10" s="177">
        <v>591.73</v>
      </c>
      <c r="T10" s="177">
        <v>1006</v>
      </c>
    </row>
    <row r="11" spans="1:20">
      <c r="A11">
        <v>10</v>
      </c>
      <c r="B11" s="173">
        <v>8</v>
      </c>
      <c r="C11" s="174" t="s">
        <v>162</v>
      </c>
      <c r="D11" s="173" t="s">
        <v>186</v>
      </c>
      <c r="E11" s="173" t="s">
        <v>187</v>
      </c>
      <c r="F11" s="175">
        <v>30894</v>
      </c>
      <c r="G11" s="175">
        <v>39648</v>
      </c>
      <c r="H11" s="176">
        <v>5954.1440000000002</v>
      </c>
      <c r="I11" s="176">
        <v>6223.2713088</v>
      </c>
      <c r="J11" s="173" t="s">
        <v>188</v>
      </c>
      <c r="K11" s="174" t="s">
        <v>13</v>
      </c>
      <c r="L11" s="178">
        <v>284.42</v>
      </c>
      <c r="M11" s="160">
        <f t="shared" si="0"/>
        <v>15.358680000000001</v>
      </c>
      <c r="N11" s="160">
        <f t="shared" si="1"/>
        <v>299.77868000000001</v>
      </c>
      <c r="O11" s="177">
        <f t="shared" si="2"/>
        <v>2098.4507600000002</v>
      </c>
      <c r="Q11" s="58">
        <f t="shared" si="3"/>
        <v>2997.7867999999999</v>
      </c>
      <c r="R11" s="178">
        <f t="shared" si="4"/>
        <v>313.328676336</v>
      </c>
      <c r="S11" s="177">
        <v>720.72</v>
      </c>
      <c r="T11" s="177">
        <v>1508.34</v>
      </c>
    </row>
    <row r="12" spans="1:20">
      <c r="A12">
        <v>14</v>
      </c>
      <c r="B12" s="173">
        <v>9</v>
      </c>
      <c r="C12" s="174" t="s">
        <v>162</v>
      </c>
      <c r="D12" s="173" t="s">
        <v>189</v>
      </c>
      <c r="E12" s="173" t="s">
        <v>190</v>
      </c>
      <c r="F12" s="175">
        <v>21431</v>
      </c>
      <c r="G12" s="175">
        <v>38952</v>
      </c>
      <c r="H12" s="176">
        <v>3969.3279999999995</v>
      </c>
      <c r="I12" s="176">
        <v>4148.7416255999988</v>
      </c>
      <c r="J12" s="173" t="s">
        <v>191</v>
      </c>
      <c r="K12" s="174" t="s">
        <v>173</v>
      </c>
      <c r="L12" s="178">
        <v>193.39</v>
      </c>
      <c r="M12" s="160">
        <f t="shared" si="0"/>
        <v>10.443059999999999</v>
      </c>
      <c r="N12" s="160">
        <f t="shared" si="1"/>
        <v>203.83305999999999</v>
      </c>
      <c r="O12" s="177">
        <f t="shared" si="2"/>
        <v>1426.83142</v>
      </c>
      <c r="Q12" s="58">
        <f t="shared" si="3"/>
        <v>2853.66284</v>
      </c>
      <c r="R12" s="178">
        <f t="shared" si="4"/>
        <v>213.04631431199996</v>
      </c>
      <c r="S12" s="177">
        <v>591.73</v>
      </c>
      <c r="T12" s="177">
        <v>1006</v>
      </c>
    </row>
    <row r="13" spans="1:20">
      <c r="A13">
        <v>14</v>
      </c>
      <c r="B13" s="173">
        <v>10</v>
      </c>
      <c r="C13" s="174" t="s">
        <v>162</v>
      </c>
      <c r="D13" s="173" t="s">
        <v>192</v>
      </c>
      <c r="E13" s="173" t="s">
        <v>193</v>
      </c>
      <c r="F13" s="175">
        <v>26832</v>
      </c>
      <c r="G13" s="175">
        <v>39641</v>
      </c>
      <c r="H13" s="176">
        <v>8234.7519999999986</v>
      </c>
      <c r="I13" s="176">
        <v>8606.9627903999972</v>
      </c>
      <c r="J13" s="173" t="s">
        <v>194</v>
      </c>
      <c r="K13" s="174" t="s">
        <v>47</v>
      </c>
      <c r="L13" s="178">
        <v>284.42</v>
      </c>
      <c r="M13" s="160">
        <f t="shared" si="0"/>
        <v>15.358680000000001</v>
      </c>
      <c r="N13" s="160">
        <f t="shared" si="1"/>
        <v>299.77868000000001</v>
      </c>
      <c r="O13" s="177">
        <f t="shared" si="2"/>
        <v>2098.4507600000002</v>
      </c>
      <c r="Q13" s="58">
        <f t="shared" si="3"/>
        <v>4196.9015200000003</v>
      </c>
      <c r="R13" s="178">
        <f t="shared" si="4"/>
        <v>313.328676336</v>
      </c>
      <c r="S13" s="177">
        <v>880.1</v>
      </c>
      <c r="T13" s="177">
        <v>2086</v>
      </c>
    </row>
    <row r="14" spans="1:20">
      <c r="A14">
        <v>14</v>
      </c>
      <c r="B14" s="173">
        <v>11</v>
      </c>
      <c r="C14" s="174" t="s">
        <v>162</v>
      </c>
      <c r="D14" s="173" t="s">
        <v>195</v>
      </c>
      <c r="E14" s="173" t="s">
        <v>196</v>
      </c>
      <c r="F14" s="175">
        <v>21778</v>
      </c>
      <c r="G14" s="175">
        <v>38831</v>
      </c>
      <c r="H14" s="176">
        <v>10715.696</v>
      </c>
      <c r="I14" s="176">
        <v>11200.045459199999</v>
      </c>
      <c r="J14" s="173" t="s">
        <v>197</v>
      </c>
      <c r="K14" s="174" t="s">
        <v>47</v>
      </c>
      <c r="L14" s="178">
        <v>370.11</v>
      </c>
      <c r="M14" s="160">
        <f t="shared" si="0"/>
        <v>19.985939999999999</v>
      </c>
      <c r="N14" s="160">
        <f t="shared" si="1"/>
        <v>390.09594000000004</v>
      </c>
      <c r="O14" s="177">
        <f t="shared" si="2"/>
        <v>2730.6715800000002</v>
      </c>
      <c r="Q14" s="58">
        <f t="shared" si="3"/>
        <v>5461.3431600000004</v>
      </c>
      <c r="R14" s="178">
        <f t="shared" si="4"/>
        <v>407.72827648800001</v>
      </c>
      <c r="S14" s="177">
        <v>1053.5</v>
      </c>
      <c r="T14" s="177">
        <v>2714.55</v>
      </c>
    </row>
    <row r="15" spans="1:20">
      <c r="A15">
        <v>14</v>
      </c>
      <c r="B15" s="173">
        <v>12</v>
      </c>
      <c r="C15" s="174" t="s">
        <v>162</v>
      </c>
      <c r="D15" s="173" t="s">
        <v>198</v>
      </c>
      <c r="E15" s="173" t="s">
        <v>199</v>
      </c>
      <c r="F15" s="175">
        <v>26009</v>
      </c>
      <c r="G15" s="175">
        <v>39165</v>
      </c>
      <c r="H15" s="176">
        <v>8234.7519999999986</v>
      </c>
      <c r="I15" s="176">
        <v>8606.9627903999972</v>
      </c>
      <c r="J15" s="173" t="s">
        <v>200</v>
      </c>
      <c r="K15" s="174" t="s">
        <v>47</v>
      </c>
      <c r="L15" s="178">
        <v>284.42</v>
      </c>
      <c r="M15" s="160">
        <f t="shared" si="0"/>
        <v>15.358680000000001</v>
      </c>
      <c r="N15" s="160">
        <f t="shared" si="1"/>
        <v>299.77868000000001</v>
      </c>
      <c r="O15" s="177">
        <f t="shared" si="2"/>
        <v>2098.4507600000002</v>
      </c>
      <c r="Q15" s="58">
        <f t="shared" si="3"/>
        <v>4196.9015200000003</v>
      </c>
      <c r="R15" s="178">
        <f t="shared" si="4"/>
        <v>313.328676336</v>
      </c>
      <c r="S15" s="177">
        <v>880.1</v>
      </c>
      <c r="T15" s="177">
        <v>2086</v>
      </c>
    </row>
    <row r="16" spans="1:20">
      <c r="A16">
        <v>14</v>
      </c>
      <c r="B16" s="173">
        <v>13</v>
      </c>
      <c r="C16" s="174" t="s">
        <v>162</v>
      </c>
      <c r="D16" s="173" t="s">
        <v>201</v>
      </c>
      <c r="E16" s="173" t="s">
        <v>202</v>
      </c>
      <c r="F16" s="175">
        <v>25082</v>
      </c>
      <c r="G16" s="175">
        <v>38907</v>
      </c>
      <c r="H16" s="176">
        <v>8234.7519999999986</v>
      </c>
      <c r="I16" s="176">
        <v>8606.9627903999972</v>
      </c>
      <c r="J16" s="173" t="s">
        <v>203</v>
      </c>
      <c r="K16" s="174" t="s">
        <v>47</v>
      </c>
      <c r="L16" s="178">
        <v>284.42</v>
      </c>
      <c r="M16" s="160">
        <f t="shared" si="0"/>
        <v>15.358680000000001</v>
      </c>
      <c r="N16" s="160">
        <f t="shared" si="1"/>
        <v>299.77868000000001</v>
      </c>
      <c r="O16" s="177">
        <f t="shared" si="2"/>
        <v>2098.4507600000002</v>
      </c>
      <c r="Q16" s="58">
        <f t="shared" si="3"/>
        <v>4196.9015200000003</v>
      </c>
      <c r="R16" s="178">
        <f t="shared" si="4"/>
        <v>313.328676336</v>
      </c>
      <c r="S16" s="177">
        <v>880.1</v>
      </c>
      <c r="T16" s="177">
        <v>2086</v>
      </c>
    </row>
    <row r="17" spans="1:20">
      <c r="A17">
        <v>14</v>
      </c>
      <c r="B17" s="173">
        <v>14</v>
      </c>
      <c r="C17" s="174" t="s">
        <v>162</v>
      </c>
      <c r="D17" s="173" t="s">
        <v>204</v>
      </c>
      <c r="E17" s="173" t="s">
        <v>205</v>
      </c>
      <c r="F17" s="175">
        <v>28633</v>
      </c>
      <c r="G17" s="175">
        <v>38879</v>
      </c>
      <c r="H17" s="176">
        <v>10715.696</v>
      </c>
      <c r="I17" s="176">
        <v>11200.045459199999</v>
      </c>
      <c r="J17" s="173" t="s">
        <v>206</v>
      </c>
      <c r="K17" s="174" t="s">
        <v>47</v>
      </c>
      <c r="L17" s="178">
        <v>370.11</v>
      </c>
      <c r="M17" s="160">
        <f t="shared" si="0"/>
        <v>19.985939999999999</v>
      </c>
      <c r="N17" s="160">
        <f t="shared" si="1"/>
        <v>390.09594000000004</v>
      </c>
      <c r="O17" s="177">
        <f t="shared" si="2"/>
        <v>2730.6715800000002</v>
      </c>
      <c r="Q17" s="58">
        <f t="shared" si="3"/>
        <v>5461.3431600000004</v>
      </c>
      <c r="R17" s="178">
        <f t="shared" si="4"/>
        <v>407.72827648800001</v>
      </c>
      <c r="S17" s="177">
        <v>1053.5</v>
      </c>
      <c r="T17" s="177">
        <v>2715</v>
      </c>
    </row>
    <row r="18" spans="1:20">
      <c r="A18">
        <v>14</v>
      </c>
      <c r="B18" s="173">
        <v>15</v>
      </c>
      <c r="C18" s="174" t="s">
        <v>162</v>
      </c>
      <c r="D18" s="173" t="s">
        <v>207</v>
      </c>
      <c r="E18" s="173" t="s">
        <v>208</v>
      </c>
      <c r="F18" s="175">
        <v>19374</v>
      </c>
      <c r="G18" s="175">
        <v>39006</v>
      </c>
      <c r="H18" s="176">
        <v>4513.4879999999994</v>
      </c>
      <c r="I18" s="176">
        <v>4717.497657599999</v>
      </c>
      <c r="J18" s="173" t="s">
        <v>209</v>
      </c>
      <c r="K18" s="174" t="s">
        <v>210</v>
      </c>
      <c r="L18" s="178">
        <v>155.88999999999999</v>
      </c>
      <c r="M18" s="160">
        <f t="shared" si="0"/>
        <v>8.4180599999999988</v>
      </c>
      <c r="N18" s="160">
        <f t="shared" si="1"/>
        <v>164.30805999999998</v>
      </c>
      <c r="O18" s="177">
        <f t="shared" si="2"/>
        <v>1150.1564199999998</v>
      </c>
      <c r="Q18" s="58">
        <f t="shared" si="3"/>
        <v>2300.3128399999996</v>
      </c>
      <c r="R18" s="178">
        <f t="shared" si="4"/>
        <v>171.73478431199996</v>
      </c>
      <c r="S18" s="177">
        <v>623.04</v>
      </c>
      <c r="T18" s="177">
        <v>1143</v>
      </c>
    </row>
    <row r="19" spans="1:20">
      <c r="A19">
        <v>14</v>
      </c>
      <c r="B19" s="173">
        <v>16</v>
      </c>
      <c r="C19" s="174" t="s">
        <v>162</v>
      </c>
      <c r="D19" s="173" t="s">
        <v>211</v>
      </c>
      <c r="E19" s="173" t="s">
        <v>212</v>
      </c>
      <c r="F19" s="175">
        <v>28809</v>
      </c>
      <c r="G19" s="175">
        <v>38907</v>
      </c>
      <c r="H19" s="176">
        <v>8234.7519999999986</v>
      </c>
      <c r="I19" s="176">
        <v>8606.9627903999972</v>
      </c>
      <c r="J19" s="173" t="s">
        <v>213</v>
      </c>
      <c r="K19" s="174" t="s">
        <v>47</v>
      </c>
      <c r="L19" s="178">
        <v>284.42</v>
      </c>
      <c r="M19" s="160">
        <f t="shared" si="0"/>
        <v>15.358680000000001</v>
      </c>
      <c r="N19" s="160">
        <f t="shared" si="1"/>
        <v>299.77868000000001</v>
      </c>
      <c r="O19" s="177">
        <f t="shared" si="2"/>
        <v>2098.4507600000002</v>
      </c>
      <c r="Q19" s="58">
        <f t="shared" si="3"/>
        <v>4196.9015200000003</v>
      </c>
      <c r="R19" s="178">
        <f t="shared" si="4"/>
        <v>313.328676336</v>
      </c>
      <c r="S19" s="177">
        <v>880.1</v>
      </c>
      <c r="T19" s="177">
        <v>2086</v>
      </c>
    </row>
    <row r="20" spans="1:20">
      <c r="A20">
        <v>14</v>
      </c>
      <c r="B20" s="173">
        <v>17</v>
      </c>
      <c r="C20" s="174" t="s">
        <v>162</v>
      </c>
      <c r="D20" s="173" t="s">
        <v>214</v>
      </c>
      <c r="E20" s="173" t="s">
        <v>215</v>
      </c>
      <c r="F20" s="175">
        <v>24326</v>
      </c>
      <c r="G20" s="175">
        <v>38785</v>
      </c>
      <c r="H20" s="176">
        <v>9281.1200000000008</v>
      </c>
      <c r="I20" s="176">
        <v>9700.6266240000004</v>
      </c>
      <c r="J20" s="173" t="s">
        <v>216</v>
      </c>
      <c r="K20" s="174" t="s">
        <v>217</v>
      </c>
      <c r="L20" s="178">
        <v>366.97</v>
      </c>
      <c r="M20" s="160">
        <f t="shared" si="0"/>
        <v>19.816380000000002</v>
      </c>
      <c r="N20" s="160">
        <f t="shared" si="1"/>
        <v>386.78638000000001</v>
      </c>
      <c r="O20" s="177">
        <f t="shared" si="2"/>
        <v>2707.5046600000001</v>
      </c>
      <c r="Q20" s="58">
        <f t="shared" si="3"/>
        <v>5415.0093200000001</v>
      </c>
      <c r="R20" s="178">
        <f t="shared" si="4"/>
        <v>404.26912437599998</v>
      </c>
      <c r="S20" s="177">
        <v>953.22</v>
      </c>
      <c r="T20" s="177">
        <v>2351.2199999999998</v>
      </c>
    </row>
    <row r="21" spans="1:20">
      <c r="A21">
        <v>14</v>
      </c>
      <c r="B21" s="173">
        <v>18</v>
      </c>
      <c r="C21" s="174" t="s">
        <v>162</v>
      </c>
      <c r="D21" s="173" t="s">
        <v>218</v>
      </c>
      <c r="E21" s="173" t="s">
        <v>219</v>
      </c>
      <c r="F21" s="175">
        <v>14801</v>
      </c>
      <c r="G21" s="175">
        <v>38952</v>
      </c>
      <c r="H21" s="176">
        <v>8234.7519999999986</v>
      </c>
      <c r="I21" s="176">
        <v>8606.9627903999972</v>
      </c>
      <c r="J21" s="173" t="s">
        <v>220</v>
      </c>
      <c r="K21" s="174" t="s">
        <v>47</v>
      </c>
      <c r="L21" s="178">
        <v>284.42</v>
      </c>
      <c r="M21" s="160">
        <f t="shared" si="0"/>
        <v>15.358680000000001</v>
      </c>
      <c r="N21" s="160">
        <f t="shared" si="1"/>
        <v>299.77868000000001</v>
      </c>
      <c r="O21" s="177">
        <f t="shared" si="2"/>
        <v>2098.4507600000002</v>
      </c>
      <c r="Q21" s="58">
        <f t="shared" si="3"/>
        <v>4196.9015200000003</v>
      </c>
      <c r="R21" s="178">
        <f t="shared" si="4"/>
        <v>313.328676336</v>
      </c>
      <c r="S21" s="177">
        <v>880.1</v>
      </c>
      <c r="T21" s="177">
        <v>2086</v>
      </c>
    </row>
    <row r="22" spans="1:20">
      <c r="A22">
        <v>14</v>
      </c>
      <c r="B22" s="173">
        <v>19</v>
      </c>
      <c r="C22" s="174" t="s">
        <v>162</v>
      </c>
      <c r="D22" s="173" t="s">
        <v>221</v>
      </c>
      <c r="E22" s="173" t="s">
        <v>222</v>
      </c>
      <c r="F22" s="175">
        <v>28452</v>
      </c>
      <c r="G22" s="175">
        <v>39052</v>
      </c>
      <c r="H22" s="176">
        <v>9417.616</v>
      </c>
      <c r="I22" s="176">
        <v>9843.2922431999996</v>
      </c>
      <c r="J22" s="173" t="s">
        <v>223</v>
      </c>
      <c r="K22" s="174" t="s">
        <v>13</v>
      </c>
      <c r="L22" s="178">
        <v>325.27999999999997</v>
      </c>
      <c r="M22" s="160">
        <f t="shared" si="0"/>
        <v>17.565119999999997</v>
      </c>
      <c r="N22" s="160">
        <f t="shared" si="1"/>
        <v>342.84511999999995</v>
      </c>
      <c r="O22" s="177">
        <f t="shared" si="2"/>
        <v>2399.9158399999997</v>
      </c>
      <c r="Q22" s="58">
        <f t="shared" si="3"/>
        <v>4799.8316799999993</v>
      </c>
      <c r="R22" s="178">
        <f t="shared" si="4"/>
        <v>358.3417194239999</v>
      </c>
      <c r="S22" s="177">
        <v>962.78</v>
      </c>
      <c r="T22" s="177">
        <v>2385.7199999999998</v>
      </c>
    </row>
    <row r="23" spans="1:20">
      <c r="A23">
        <v>14</v>
      </c>
      <c r="B23" s="173">
        <v>20</v>
      </c>
      <c r="C23" s="174" t="s">
        <v>162</v>
      </c>
      <c r="D23" s="173" t="s">
        <v>224</v>
      </c>
      <c r="E23" s="173" t="s">
        <v>225</v>
      </c>
      <c r="F23" s="175">
        <v>26206</v>
      </c>
      <c r="G23" s="175">
        <v>38942</v>
      </c>
      <c r="H23" s="176">
        <v>3969.3279999999995</v>
      </c>
      <c r="I23" s="176">
        <v>4148.7416255999988</v>
      </c>
      <c r="J23" s="173" t="s">
        <v>226</v>
      </c>
      <c r="K23" s="174" t="s">
        <v>173</v>
      </c>
      <c r="L23" s="178">
        <v>137.1</v>
      </c>
      <c r="M23" s="160">
        <f t="shared" si="0"/>
        <v>7.4033999999999995</v>
      </c>
      <c r="N23" s="160">
        <f t="shared" si="1"/>
        <v>144.5034</v>
      </c>
      <c r="O23" s="177">
        <f t="shared" si="2"/>
        <v>1011.5237999999999</v>
      </c>
      <c r="Q23" s="58">
        <f t="shared" si="3"/>
        <v>2023.0475999999999</v>
      </c>
      <c r="R23" s="178">
        <f t="shared" si="4"/>
        <v>151.03495367999997</v>
      </c>
      <c r="S23" s="177">
        <v>591.73</v>
      </c>
      <c r="T23" s="177">
        <v>1006</v>
      </c>
    </row>
    <row r="24" spans="1:20">
      <c r="A24">
        <v>14</v>
      </c>
      <c r="B24" s="173">
        <v>21</v>
      </c>
      <c r="C24" s="174" t="s">
        <v>162</v>
      </c>
      <c r="D24" s="173" t="s">
        <v>227</v>
      </c>
      <c r="E24" s="173" t="s">
        <v>228</v>
      </c>
      <c r="F24" s="175">
        <v>23984</v>
      </c>
      <c r="G24" s="175">
        <v>39103</v>
      </c>
      <c r="H24" s="176">
        <v>8234.7519999999986</v>
      </c>
      <c r="I24" s="176">
        <v>8606.9627903999972</v>
      </c>
      <c r="J24" s="173" t="s">
        <v>229</v>
      </c>
      <c r="K24" s="174" t="s">
        <v>47</v>
      </c>
      <c r="L24" s="178">
        <v>284.42</v>
      </c>
      <c r="M24" s="160">
        <f t="shared" si="0"/>
        <v>15.358680000000001</v>
      </c>
      <c r="N24" s="160">
        <f t="shared" si="1"/>
        <v>299.77868000000001</v>
      </c>
      <c r="O24" s="177">
        <f t="shared" si="2"/>
        <v>2098.4507600000002</v>
      </c>
      <c r="Q24" s="58">
        <f t="shared" si="3"/>
        <v>4196.9015200000003</v>
      </c>
      <c r="R24" s="178">
        <f t="shared" si="4"/>
        <v>313.328676336</v>
      </c>
      <c r="S24" s="177">
        <v>880.1</v>
      </c>
      <c r="T24" s="177">
        <v>2086</v>
      </c>
    </row>
    <row r="25" spans="1:20">
      <c r="A25">
        <v>14</v>
      </c>
      <c r="B25" s="173">
        <v>22</v>
      </c>
      <c r="C25" s="174" t="s">
        <v>162</v>
      </c>
      <c r="D25" s="173" t="s">
        <v>230</v>
      </c>
      <c r="E25" s="173" t="s">
        <v>231</v>
      </c>
      <c r="F25" s="175">
        <v>27966</v>
      </c>
      <c r="G25" s="175">
        <v>38928</v>
      </c>
      <c r="H25" s="176">
        <v>5599.0720000000001</v>
      </c>
      <c r="I25" s="176">
        <v>5852.1500544</v>
      </c>
      <c r="J25" s="173" t="s">
        <v>232</v>
      </c>
      <c r="K25" s="174" t="s">
        <v>45</v>
      </c>
      <c r="L25" s="178">
        <v>193.39</v>
      </c>
      <c r="M25" s="160">
        <f t="shared" si="0"/>
        <v>10.443059999999999</v>
      </c>
      <c r="N25" s="160">
        <f t="shared" si="1"/>
        <v>203.83305999999999</v>
      </c>
      <c r="O25" s="177">
        <f t="shared" si="2"/>
        <v>1426.83142</v>
      </c>
      <c r="Q25" s="58">
        <f t="shared" si="3"/>
        <v>2853.66284</v>
      </c>
      <c r="R25" s="178">
        <f t="shared" si="4"/>
        <v>213.04631431199996</v>
      </c>
      <c r="S25" s="177">
        <v>695.9</v>
      </c>
      <c r="T25" s="177">
        <v>1418</v>
      </c>
    </row>
    <row r="26" spans="1:20">
      <c r="A26">
        <v>14</v>
      </c>
      <c r="B26" s="173">
        <v>23</v>
      </c>
      <c r="C26" s="174" t="s">
        <v>162</v>
      </c>
      <c r="D26" s="173" t="s">
        <v>233</v>
      </c>
      <c r="E26" s="173" t="s">
        <v>234</v>
      </c>
      <c r="F26" s="175">
        <v>24347</v>
      </c>
      <c r="G26" s="175">
        <v>38879</v>
      </c>
      <c r="H26" s="176">
        <v>8234.7519999999986</v>
      </c>
      <c r="I26" s="176">
        <v>8606.9627903999972</v>
      </c>
      <c r="J26" s="173" t="s">
        <v>235</v>
      </c>
      <c r="K26" s="174" t="s">
        <v>47</v>
      </c>
      <c r="L26" s="178">
        <v>284.42</v>
      </c>
      <c r="M26" s="160">
        <f t="shared" si="0"/>
        <v>15.358680000000001</v>
      </c>
      <c r="N26" s="160">
        <f t="shared" si="1"/>
        <v>299.77868000000001</v>
      </c>
      <c r="O26" s="177">
        <f t="shared" si="2"/>
        <v>2098.4507600000002</v>
      </c>
      <c r="Q26" s="58">
        <f t="shared" si="3"/>
        <v>4196.9015200000003</v>
      </c>
      <c r="R26" s="178">
        <f t="shared" si="4"/>
        <v>313.328676336</v>
      </c>
      <c r="S26" s="177">
        <v>880.1</v>
      </c>
      <c r="T26" s="177">
        <v>2086</v>
      </c>
    </row>
    <row r="27" spans="1:20" ht="12.6" customHeight="1">
      <c r="A27">
        <v>14</v>
      </c>
      <c r="B27" s="173">
        <v>24</v>
      </c>
      <c r="C27" s="174" t="s">
        <v>162</v>
      </c>
      <c r="D27" s="173" t="s">
        <v>236</v>
      </c>
      <c r="E27" s="173" t="s">
        <v>237</v>
      </c>
      <c r="F27" s="175">
        <v>29449</v>
      </c>
      <c r="G27" s="175">
        <v>38970</v>
      </c>
      <c r="H27" s="176">
        <v>6206.16</v>
      </c>
      <c r="I27" s="176">
        <v>6486.6784319999997</v>
      </c>
      <c r="J27" s="173" t="s">
        <v>238</v>
      </c>
      <c r="K27" s="174" t="s">
        <v>5</v>
      </c>
      <c r="L27" s="178">
        <v>214.36</v>
      </c>
      <c r="M27" s="160">
        <f t="shared" si="0"/>
        <v>11.57544</v>
      </c>
      <c r="N27" s="160">
        <f t="shared" si="1"/>
        <v>225.93544000000003</v>
      </c>
      <c r="O27" s="177">
        <f t="shared" si="2"/>
        <v>1581.5480800000003</v>
      </c>
      <c r="Q27" s="58">
        <f t="shared" si="3"/>
        <v>3163.0961600000005</v>
      </c>
      <c r="R27" s="178">
        <f t="shared" si="4"/>
        <v>236.14772188800001</v>
      </c>
      <c r="S27" s="177">
        <v>738.33</v>
      </c>
      <c r="T27" s="177">
        <v>1572.16</v>
      </c>
    </row>
    <row r="28" spans="1:20" ht="12.6" customHeight="1">
      <c r="A28">
        <v>6</v>
      </c>
      <c r="B28" s="173">
        <v>25</v>
      </c>
      <c r="C28" s="174" t="s">
        <v>162</v>
      </c>
      <c r="D28" s="173" t="s">
        <v>333</v>
      </c>
      <c r="E28" s="173"/>
      <c r="F28" s="175"/>
      <c r="G28" s="175"/>
      <c r="H28" s="176"/>
      <c r="I28" s="176"/>
      <c r="J28" s="173"/>
      <c r="K28" s="174"/>
      <c r="L28" s="178">
        <v>284.42</v>
      </c>
      <c r="M28" s="160">
        <f t="shared" si="0"/>
        <v>15.358680000000001</v>
      </c>
      <c r="N28" s="160">
        <f t="shared" si="1"/>
        <v>299.77868000000001</v>
      </c>
      <c r="O28" s="177">
        <f t="shared" si="2"/>
        <v>2098.4507600000002</v>
      </c>
      <c r="Q28" s="58">
        <f t="shared" si="3"/>
        <v>1798.6720800000001</v>
      </c>
      <c r="R28" s="178"/>
      <c r="S28" s="177"/>
      <c r="T28" s="177"/>
    </row>
    <row r="29" spans="1:20" ht="12.6" customHeight="1">
      <c r="A29">
        <v>6</v>
      </c>
      <c r="B29" s="173">
        <v>26</v>
      </c>
      <c r="C29" s="174" t="s">
        <v>162</v>
      </c>
      <c r="D29" s="173" t="s">
        <v>333</v>
      </c>
      <c r="E29" s="173"/>
      <c r="F29" s="175"/>
      <c r="G29" s="175"/>
      <c r="H29" s="176"/>
      <c r="I29" s="176"/>
      <c r="J29" s="173"/>
      <c r="K29" s="174"/>
      <c r="L29" s="178">
        <v>284.42</v>
      </c>
      <c r="M29" s="160">
        <f t="shared" si="0"/>
        <v>15.358680000000001</v>
      </c>
      <c r="N29" s="160">
        <f t="shared" si="1"/>
        <v>299.77868000000001</v>
      </c>
      <c r="O29" s="177">
        <f t="shared" si="2"/>
        <v>2098.4507600000002</v>
      </c>
      <c r="Q29" s="58">
        <f t="shared" si="3"/>
        <v>1798.6720800000001</v>
      </c>
      <c r="R29" s="178"/>
      <c r="S29" s="177"/>
      <c r="T29" s="177"/>
    </row>
    <row r="30" spans="1:20" ht="12.6" customHeight="1">
      <c r="B30" s="173"/>
      <c r="C30" s="174"/>
      <c r="D30" s="173"/>
      <c r="E30" s="173"/>
      <c r="F30" s="175"/>
      <c r="G30" s="175"/>
      <c r="H30" s="176"/>
      <c r="I30" s="176"/>
      <c r="J30" s="173"/>
      <c r="K30" s="174"/>
      <c r="O30" s="179">
        <f>SUM(O4:O29)</f>
        <v>52061.086279999996</v>
      </c>
      <c r="Q30" s="58">
        <f t="shared" si="3"/>
        <v>0</v>
      </c>
      <c r="R30" s="178">
        <f t="shared" si="4"/>
        <v>0</v>
      </c>
      <c r="S30" s="179">
        <f>SUM(S4:S29)</f>
        <v>20132.100000000002</v>
      </c>
      <c r="T30" s="179">
        <f>SUM(T4:T29)</f>
        <v>46251.47</v>
      </c>
    </row>
    <row r="31" spans="1:20" ht="12.6" customHeight="1">
      <c r="B31" s="173"/>
      <c r="C31" s="174"/>
      <c r="D31" s="173"/>
      <c r="E31" s="173"/>
      <c r="F31" s="175"/>
      <c r="G31" s="175"/>
      <c r="H31" s="176"/>
      <c r="I31" s="176"/>
      <c r="J31" s="173"/>
      <c r="K31" s="174"/>
      <c r="O31" s="177"/>
      <c r="Q31" s="58">
        <f t="shared" si="3"/>
        <v>0</v>
      </c>
      <c r="R31" s="178">
        <f t="shared" si="4"/>
        <v>0</v>
      </c>
      <c r="S31" s="177"/>
      <c r="T31" s="177"/>
    </row>
    <row r="32" spans="1:20">
      <c r="A32">
        <v>14</v>
      </c>
      <c r="B32" s="173">
        <v>27</v>
      </c>
      <c r="C32" s="174"/>
      <c r="D32" s="173" t="s">
        <v>239</v>
      </c>
      <c r="E32" s="173" t="s">
        <v>240</v>
      </c>
      <c r="F32" s="175">
        <v>29758</v>
      </c>
      <c r="G32" s="175">
        <v>38961</v>
      </c>
      <c r="H32" s="176">
        <v>11178.383999999998</v>
      </c>
      <c r="I32" s="176">
        <v>11683.646956799997</v>
      </c>
      <c r="J32" s="173" t="s">
        <v>241</v>
      </c>
      <c r="K32" s="174" t="s">
        <v>45</v>
      </c>
      <c r="L32" s="178">
        <v>386.1</v>
      </c>
      <c r="M32" s="160">
        <f t="shared" ref="M32:M48" si="5">+L32*$M$3</f>
        <v>20.849399999999999</v>
      </c>
      <c r="N32" s="160">
        <f t="shared" ref="N32:N48" si="6">+L32+M32</f>
        <v>406.94940000000003</v>
      </c>
      <c r="P32" s="160">
        <f>+N32*15</f>
        <v>6104.241</v>
      </c>
      <c r="Q32" s="58">
        <f t="shared" si="3"/>
        <v>5697.2916000000005</v>
      </c>
      <c r="R32" s="178">
        <f t="shared" si="4"/>
        <v>425.34351287999999</v>
      </c>
      <c r="S32" s="177">
        <v>1085.82</v>
      </c>
      <c r="T32" s="177">
        <v>2831.71</v>
      </c>
    </row>
    <row r="33" spans="1:21">
      <c r="A33">
        <v>14</v>
      </c>
      <c r="B33" s="173">
        <v>28</v>
      </c>
      <c r="C33" s="174"/>
      <c r="D33" s="173" t="s">
        <v>242</v>
      </c>
      <c r="E33" s="173" t="s">
        <v>243</v>
      </c>
      <c r="F33" s="175">
        <v>20313</v>
      </c>
      <c r="G33" s="175">
        <v>38565</v>
      </c>
      <c r="H33" s="176">
        <v>22394.16</v>
      </c>
      <c r="I33" s="176">
        <v>23406.376031999996</v>
      </c>
      <c r="J33" s="173" t="s">
        <v>244</v>
      </c>
      <c r="K33" s="174" t="s">
        <v>245</v>
      </c>
      <c r="L33" s="178">
        <v>773.48</v>
      </c>
      <c r="M33" s="160">
        <f t="shared" si="5"/>
        <v>41.767920000000004</v>
      </c>
      <c r="N33" s="160">
        <f t="shared" si="6"/>
        <v>815.24792000000002</v>
      </c>
      <c r="P33" s="160">
        <f t="shared" ref="P33:P48" si="7">+N33*15</f>
        <v>12228.718800000001</v>
      </c>
      <c r="Q33" s="58">
        <f t="shared" si="3"/>
        <v>11413.470880000001</v>
      </c>
      <c r="R33" s="178">
        <f t="shared" si="4"/>
        <v>852.09712598399994</v>
      </c>
      <c r="S33" s="177">
        <v>1869.67</v>
      </c>
      <c r="T33" s="177">
        <v>5672.93</v>
      </c>
    </row>
    <row r="34" spans="1:21">
      <c r="A34">
        <v>14</v>
      </c>
      <c r="B34" s="173">
        <v>29</v>
      </c>
      <c r="C34" s="173"/>
      <c r="D34" s="173" t="s">
        <v>246</v>
      </c>
      <c r="E34" s="173" t="s">
        <v>247</v>
      </c>
      <c r="F34" s="175">
        <v>30055</v>
      </c>
      <c r="G34" s="175">
        <v>38565</v>
      </c>
      <c r="H34" s="176">
        <v>18832.8</v>
      </c>
      <c r="I34" s="176">
        <v>19684.042559999998</v>
      </c>
      <c r="J34" s="173" t="s">
        <v>248</v>
      </c>
      <c r="K34" s="174" t="s">
        <v>45</v>
      </c>
      <c r="L34" s="178">
        <v>650.48</v>
      </c>
      <c r="M34" s="160">
        <f t="shared" si="5"/>
        <v>35.125920000000001</v>
      </c>
      <c r="N34" s="160">
        <f t="shared" si="6"/>
        <v>685.60591999999997</v>
      </c>
      <c r="P34" s="160">
        <f t="shared" si="7"/>
        <v>10284.0888</v>
      </c>
      <c r="Q34" s="58">
        <f t="shared" si="3"/>
        <v>9598.4828799999996</v>
      </c>
      <c r="R34" s="178">
        <f t="shared" si="4"/>
        <v>716.5953075839999</v>
      </c>
      <c r="S34" s="177">
        <v>1620.78</v>
      </c>
      <c r="T34" s="177">
        <v>4770.8100000000004</v>
      </c>
    </row>
    <row r="35" spans="1:21">
      <c r="A35">
        <v>14</v>
      </c>
      <c r="B35" s="173">
        <v>30</v>
      </c>
      <c r="C35" s="173"/>
      <c r="D35" s="173" t="s">
        <v>249</v>
      </c>
      <c r="E35" s="173" t="s">
        <v>250</v>
      </c>
      <c r="F35" s="175">
        <v>29121</v>
      </c>
      <c r="G35" s="175">
        <v>38966</v>
      </c>
      <c r="H35" s="176">
        <v>18066.719999999998</v>
      </c>
      <c r="I35" s="176">
        <v>18883.335743999996</v>
      </c>
      <c r="J35" s="173" t="s">
        <v>251</v>
      </c>
      <c r="K35" s="174" t="s">
        <v>63</v>
      </c>
      <c r="L35" s="178">
        <v>624.02</v>
      </c>
      <c r="M35" s="160">
        <f t="shared" si="5"/>
        <v>33.69708</v>
      </c>
      <c r="N35" s="160">
        <f t="shared" si="6"/>
        <v>657.71708000000001</v>
      </c>
      <c r="P35" s="160">
        <f t="shared" si="7"/>
        <v>9865.7561999999998</v>
      </c>
      <c r="Q35" s="58">
        <f t="shared" si="3"/>
        <v>9208.0391199999995</v>
      </c>
      <c r="R35" s="178">
        <f t="shared" si="4"/>
        <v>687.4458920159999</v>
      </c>
      <c r="S35" s="177">
        <v>1567.25</v>
      </c>
      <c r="T35" s="177">
        <v>4576.75</v>
      </c>
    </row>
    <row r="36" spans="1:21">
      <c r="A36">
        <v>14</v>
      </c>
      <c r="B36" s="173">
        <v>32</v>
      </c>
      <c r="C36" s="173"/>
      <c r="D36" s="173" t="s">
        <v>252</v>
      </c>
      <c r="E36" s="173" t="s">
        <v>253</v>
      </c>
      <c r="F36" s="175">
        <v>30745</v>
      </c>
      <c r="G36" s="175">
        <v>40334</v>
      </c>
      <c r="H36" s="176">
        <v>6206.16</v>
      </c>
      <c r="I36" s="176">
        <v>6486.6784319999997</v>
      </c>
      <c r="J36" s="173" t="s">
        <v>254</v>
      </c>
      <c r="K36" s="174" t="s">
        <v>245</v>
      </c>
      <c r="L36" s="178">
        <v>214.36</v>
      </c>
      <c r="M36" s="160">
        <f t="shared" si="5"/>
        <v>11.57544</v>
      </c>
      <c r="N36" s="160">
        <f t="shared" si="6"/>
        <v>225.93544000000003</v>
      </c>
      <c r="P36" s="160">
        <f t="shared" si="7"/>
        <v>3389.0316000000003</v>
      </c>
      <c r="Q36" s="58">
        <f t="shared" si="3"/>
        <v>3163.0961600000005</v>
      </c>
      <c r="R36" s="178">
        <f t="shared" si="4"/>
        <v>236.14772188800001</v>
      </c>
      <c r="S36" s="177">
        <v>738.33</v>
      </c>
      <c r="T36" s="177">
        <v>1572.16</v>
      </c>
    </row>
    <row r="37" spans="1:21">
      <c r="A37">
        <v>14</v>
      </c>
      <c r="B37" s="173">
        <v>33</v>
      </c>
      <c r="C37" s="173"/>
      <c r="D37" s="173" t="s">
        <v>255</v>
      </c>
      <c r="E37" s="173" t="s">
        <v>256</v>
      </c>
      <c r="F37" s="175">
        <v>27415</v>
      </c>
      <c r="G37" s="175">
        <v>38565</v>
      </c>
      <c r="H37" s="176">
        <v>25020.719999999998</v>
      </c>
      <c r="I37" s="176">
        <v>26151.656543999994</v>
      </c>
      <c r="J37" s="173" t="s">
        <v>257</v>
      </c>
      <c r="K37" s="174" t="s">
        <v>258</v>
      </c>
      <c r="L37" s="178">
        <v>864.2</v>
      </c>
      <c r="M37" s="160">
        <f t="shared" si="5"/>
        <v>46.666800000000002</v>
      </c>
      <c r="N37" s="160">
        <f t="shared" si="6"/>
        <v>910.86680000000001</v>
      </c>
      <c r="P37" s="160">
        <f t="shared" si="7"/>
        <v>13663.002</v>
      </c>
      <c r="Q37" s="58">
        <f t="shared" si="3"/>
        <v>12752.135200000001</v>
      </c>
      <c r="R37" s="178">
        <f t="shared" si="4"/>
        <v>952.03797935999989</v>
      </c>
      <c r="S37" s="177">
        <v>2053.25</v>
      </c>
      <c r="T37" s="177">
        <v>6338.36</v>
      </c>
    </row>
    <row r="38" spans="1:21">
      <c r="A38">
        <v>14</v>
      </c>
      <c r="B38" s="173">
        <v>34</v>
      </c>
      <c r="C38" s="173"/>
      <c r="D38" s="173" t="s">
        <v>259</v>
      </c>
      <c r="E38" s="173" t="s">
        <v>260</v>
      </c>
      <c r="F38" s="175">
        <v>28372</v>
      </c>
      <c r="G38" s="175">
        <v>38924</v>
      </c>
      <c r="H38" s="176">
        <v>21543.263999999999</v>
      </c>
      <c r="I38" s="176">
        <v>22517.019532799997</v>
      </c>
      <c r="J38" s="173" t="s">
        <v>261</v>
      </c>
      <c r="K38" s="174" t="s">
        <v>47</v>
      </c>
      <c r="L38" s="178">
        <v>744.09</v>
      </c>
      <c r="M38" s="160">
        <f t="shared" si="5"/>
        <v>40.180860000000003</v>
      </c>
      <c r="N38" s="160">
        <f t="shared" si="6"/>
        <v>784.27086000000008</v>
      </c>
      <c r="P38" s="160">
        <f t="shared" si="7"/>
        <v>11764.062900000001</v>
      </c>
      <c r="Q38" s="58">
        <f t="shared" si="3"/>
        <v>10979.79204</v>
      </c>
      <c r="R38" s="178">
        <f t="shared" si="4"/>
        <v>819.71990287200003</v>
      </c>
      <c r="S38" s="177">
        <v>1810.21</v>
      </c>
      <c r="T38" s="177">
        <v>5457.41</v>
      </c>
    </row>
    <row r="39" spans="1:21">
      <c r="A39">
        <v>14</v>
      </c>
      <c r="B39" s="173">
        <v>35</v>
      </c>
      <c r="C39" s="173"/>
      <c r="D39" s="173" t="s">
        <v>262</v>
      </c>
      <c r="E39" s="173" t="s">
        <v>263</v>
      </c>
      <c r="F39" s="175">
        <v>29591</v>
      </c>
      <c r="G39" s="175">
        <v>38687</v>
      </c>
      <c r="H39" s="176">
        <v>14374.64</v>
      </c>
      <c r="I39" s="176">
        <v>15024.373727999999</v>
      </c>
      <c r="J39" s="173" t="s">
        <v>264</v>
      </c>
      <c r="K39" s="174" t="s">
        <v>265</v>
      </c>
      <c r="L39" s="178">
        <v>536.21</v>
      </c>
      <c r="M39" s="160">
        <f t="shared" si="5"/>
        <v>28.955340000000003</v>
      </c>
      <c r="N39" s="160">
        <f t="shared" si="6"/>
        <v>565.16534000000001</v>
      </c>
      <c r="P39" s="160">
        <f t="shared" si="7"/>
        <v>8477.4801000000007</v>
      </c>
      <c r="Q39" s="58">
        <f t="shared" si="3"/>
        <v>7912.3147600000002</v>
      </c>
      <c r="R39" s="178">
        <f t="shared" si="4"/>
        <v>590.710813368</v>
      </c>
      <c r="S39" s="177">
        <v>1309.2</v>
      </c>
      <c r="T39" s="177">
        <v>3641.42</v>
      </c>
    </row>
    <row r="40" spans="1:21">
      <c r="A40">
        <v>14</v>
      </c>
      <c r="B40" s="173">
        <v>36</v>
      </c>
      <c r="C40" s="173"/>
      <c r="D40" s="173" t="s">
        <v>266</v>
      </c>
      <c r="E40" s="173" t="s">
        <v>267</v>
      </c>
      <c r="F40" s="175">
        <v>19055</v>
      </c>
      <c r="G40" s="175">
        <v>38967</v>
      </c>
      <c r="H40" s="176">
        <v>3928.8960000000002</v>
      </c>
      <c r="I40" s="176">
        <v>4106.4820991999995</v>
      </c>
      <c r="J40" s="173" t="s">
        <v>268</v>
      </c>
      <c r="K40" s="174" t="s">
        <v>173</v>
      </c>
      <c r="L40" s="178">
        <v>135.69999999999999</v>
      </c>
      <c r="M40" s="160">
        <f t="shared" si="5"/>
        <v>7.327799999999999</v>
      </c>
      <c r="N40" s="160">
        <f t="shared" si="6"/>
        <v>143.02779999999998</v>
      </c>
      <c r="P40" s="160">
        <f t="shared" si="7"/>
        <v>2145.4169999999999</v>
      </c>
      <c r="Q40" s="58">
        <f t="shared" si="3"/>
        <v>2002.3891999999998</v>
      </c>
      <c r="R40" s="178">
        <f t="shared" si="4"/>
        <v>149.49265655999997</v>
      </c>
      <c r="S40" s="177">
        <v>589.41</v>
      </c>
      <c r="T40" s="177">
        <v>995.31</v>
      </c>
    </row>
    <row r="41" spans="1:21">
      <c r="A41">
        <v>14</v>
      </c>
      <c r="B41" s="173">
        <v>37</v>
      </c>
      <c r="C41" s="173"/>
      <c r="D41" s="173" t="s">
        <v>269</v>
      </c>
      <c r="E41" s="173" t="s">
        <v>270</v>
      </c>
      <c r="F41" s="175">
        <v>31003</v>
      </c>
      <c r="G41" s="175">
        <v>40061</v>
      </c>
      <c r="H41" s="176">
        <v>8368.8160000000007</v>
      </c>
      <c r="I41" s="176">
        <v>8747.0864832000007</v>
      </c>
      <c r="J41" s="173" t="s">
        <v>271</v>
      </c>
      <c r="K41" s="174" t="s">
        <v>62</v>
      </c>
      <c r="L41" s="178">
        <v>332.41</v>
      </c>
      <c r="M41" s="160">
        <f t="shared" si="5"/>
        <v>17.950140000000001</v>
      </c>
      <c r="N41" s="160">
        <f t="shared" si="6"/>
        <v>350.36014</v>
      </c>
      <c r="P41" s="160">
        <f t="shared" si="7"/>
        <v>5255.4021000000002</v>
      </c>
      <c r="Q41" s="58">
        <f t="shared" si="3"/>
        <v>4905.0419600000005</v>
      </c>
      <c r="R41" s="178">
        <f t="shared" si="4"/>
        <v>366.19641832799999</v>
      </c>
      <c r="S41" s="177">
        <v>889.47</v>
      </c>
      <c r="T41" s="177">
        <v>2120.0100000000002</v>
      </c>
    </row>
    <row r="42" spans="1:21">
      <c r="A42">
        <v>10</v>
      </c>
      <c r="B42" s="173">
        <v>38</v>
      </c>
      <c r="C42" s="173"/>
      <c r="D42" s="173" t="s">
        <v>272</v>
      </c>
      <c r="E42" s="173" t="s">
        <v>273</v>
      </c>
      <c r="F42" s="175">
        <v>31901</v>
      </c>
      <c r="G42" s="175">
        <v>39661</v>
      </c>
      <c r="H42" s="176">
        <v>9436.159999999998</v>
      </c>
      <c r="I42" s="176">
        <v>9862.6744319999962</v>
      </c>
      <c r="J42" s="173" t="s">
        <v>274</v>
      </c>
      <c r="K42" s="174" t="s">
        <v>45</v>
      </c>
      <c r="L42" s="178">
        <v>325.92</v>
      </c>
      <c r="M42" s="160">
        <f t="shared" si="5"/>
        <v>17.599679999999999</v>
      </c>
      <c r="N42" s="160">
        <f t="shared" si="6"/>
        <v>343.51967999999999</v>
      </c>
      <c r="P42" s="160">
        <f t="shared" si="7"/>
        <v>5152.7951999999996</v>
      </c>
      <c r="Q42" s="58">
        <f t="shared" si="3"/>
        <v>3435.1967999999997</v>
      </c>
      <c r="R42" s="178">
        <f t="shared" si="4"/>
        <v>359.04676953599994</v>
      </c>
      <c r="S42" s="177">
        <v>964.07</v>
      </c>
      <c r="T42" s="177">
        <v>2390.4</v>
      </c>
    </row>
    <row r="43" spans="1:21">
      <c r="A43">
        <v>14</v>
      </c>
      <c r="B43" s="173">
        <v>39</v>
      </c>
      <c r="C43" s="173"/>
      <c r="D43" s="173" t="s">
        <v>275</v>
      </c>
      <c r="E43" s="173" t="s">
        <v>276</v>
      </c>
      <c r="F43" s="175">
        <v>18514</v>
      </c>
      <c r="G43" s="175">
        <v>38565</v>
      </c>
      <c r="H43" s="176">
        <v>9218.1920000000009</v>
      </c>
      <c r="I43" s="176">
        <v>9634.8542784000001</v>
      </c>
      <c r="J43" s="173" t="s">
        <v>277</v>
      </c>
      <c r="K43" s="174" t="s">
        <v>278</v>
      </c>
      <c r="L43" s="160">
        <f>+H43/30.4</f>
        <v>303.23</v>
      </c>
      <c r="M43" s="160">
        <f t="shared" si="5"/>
        <v>16.374420000000001</v>
      </c>
      <c r="N43" s="160">
        <f t="shared" si="6"/>
        <v>319.60442</v>
      </c>
      <c r="P43" s="160">
        <f t="shared" si="7"/>
        <v>4794.0663000000004</v>
      </c>
      <c r="Q43" s="58">
        <f t="shared" si="3"/>
        <v>4474.4618799999998</v>
      </c>
      <c r="R43" s="178">
        <f t="shared" si="4"/>
        <v>334.05053978399997</v>
      </c>
      <c r="S43" s="177">
        <v>948.83</v>
      </c>
      <c r="T43" s="177">
        <v>2335.1799999999998</v>
      </c>
    </row>
    <row r="44" spans="1:21">
      <c r="A44">
        <v>14</v>
      </c>
      <c r="B44" s="173">
        <v>40</v>
      </c>
      <c r="C44" s="173"/>
      <c r="D44" s="173" t="s">
        <v>279</v>
      </c>
      <c r="E44" s="173" t="s">
        <v>280</v>
      </c>
      <c r="F44" s="175">
        <v>18155</v>
      </c>
      <c r="G44" s="175">
        <v>39006</v>
      </c>
      <c r="H44" s="176">
        <v>44953.695999999996</v>
      </c>
      <c r="I44" s="176">
        <v>46985.603059199995</v>
      </c>
      <c r="J44" s="173" t="s">
        <v>281</v>
      </c>
      <c r="K44" s="174" t="s">
        <v>282</v>
      </c>
      <c r="L44" s="178">
        <v>1552.68</v>
      </c>
      <c r="M44" s="160">
        <f t="shared" si="5"/>
        <v>83.844720000000009</v>
      </c>
      <c r="N44" s="160">
        <f t="shared" si="6"/>
        <v>1636.5247200000001</v>
      </c>
      <c r="P44" s="160"/>
      <c r="Q44" s="58">
        <f t="shared" si="3"/>
        <v>22911.346080000003</v>
      </c>
      <c r="R44" s="178">
        <f t="shared" si="4"/>
        <v>1710.495637344</v>
      </c>
      <c r="S44" s="177">
        <v>3446.31</v>
      </c>
      <c r="T44" s="177">
        <v>11387.8</v>
      </c>
      <c r="U44">
        <f>+N44*14</f>
        <v>22911.346080000003</v>
      </c>
    </row>
    <row r="45" spans="1:21">
      <c r="A45">
        <v>14</v>
      </c>
      <c r="B45" s="173">
        <v>41</v>
      </c>
      <c r="C45" s="173"/>
      <c r="D45" s="173" t="s">
        <v>283</v>
      </c>
      <c r="E45" s="173" t="s">
        <v>284</v>
      </c>
      <c r="F45" s="175">
        <v>29523</v>
      </c>
      <c r="G45" s="175">
        <v>38936</v>
      </c>
      <c r="H45" s="176">
        <v>16755.871999999999</v>
      </c>
      <c r="I45" s="176">
        <v>17513.237414399999</v>
      </c>
      <c r="J45" s="173" t="s">
        <v>285</v>
      </c>
      <c r="K45" s="174" t="s">
        <v>286</v>
      </c>
      <c r="L45" s="178">
        <v>578.74</v>
      </c>
      <c r="M45" s="160">
        <f t="shared" si="5"/>
        <v>31.25196</v>
      </c>
      <c r="N45" s="160">
        <f t="shared" si="6"/>
        <v>609.99196000000006</v>
      </c>
      <c r="P45" s="160">
        <f t="shared" si="7"/>
        <v>9149.8794000000016</v>
      </c>
      <c r="Q45" s="58">
        <f t="shared" si="3"/>
        <v>8539.8874400000004</v>
      </c>
      <c r="R45" s="178">
        <f t="shared" si="4"/>
        <v>637.56359659199995</v>
      </c>
      <c r="S45" s="177">
        <v>1475.65</v>
      </c>
      <c r="T45" s="177">
        <v>4244.63</v>
      </c>
    </row>
    <row r="46" spans="1:21">
      <c r="A46">
        <v>14</v>
      </c>
      <c r="B46" s="173">
        <v>42</v>
      </c>
      <c r="C46" s="173"/>
      <c r="D46" s="173" t="s">
        <v>287</v>
      </c>
      <c r="E46" s="173" t="s">
        <v>288</v>
      </c>
      <c r="F46" s="175">
        <v>28562</v>
      </c>
      <c r="G46" s="175">
        <v>38961</v>
      </c>
      <c r="H46" s="176">
        <v>9238.56</v>
      </c>
      <c r="I46" s="176">
        <v>9656.1429119999993</v>
      </c>
      <c r="J46" s="173" t="s">
        <v>289</v>
      </c>
      <c r="K46" s="174" t="s">
        <v>45</v>
      </c>
      <c r="L46" s="178">
        <v>386.1</v>
      </c>
      <c r="M46" s="160">
        <f t="shared" si="5"/>
        <v>20.849399999999999</v>
      </c>
      <c r="N46" s="160">
        <f t="shared" si="6"/>
        <v>406.94940000000003</v>
      </c>
      <c r="P46" s="160">
        <f t="shared" si="7"/>
        <v>6104.241</v>
      </c>
      <c r="Q46" s="58">
        <f t="shared" si="3"/>
        <v>5697.2916000000005</v>
      </c>
      <c r="R46" s="178">
        <f t="shared" si="4"/>
        <v>425.34351287999999</v>
      </c>
      <c r="S46" s="177">
        <v>950.26</v>
      </c>
      <c r="T46" s="177">
        <v>2340.35</v>
      </c>
    </row>
    <row r="47" spans="1:21">
      <c r="A47">
        <v>10</v>
      </c>
      <c r="B47" s="173">
        <v>43</v>
      </c>
      <c r="C47" s="173"/>
      <c r="D47" s="173" t="s">
        <v>290</v>
      </c>
      <c r="E47" s="173" t="s">
        <v>291</v>
      </c>
      <c r="F47" s="175">
        <v>31536</v>
      </c>
      <c r="G47" s="175">
        <v>39310</v>
      </c>
      <c r="H47" s="176">
        <v>8867.9839999999986</v>
      </c>
      <c r="I47" s="176">
        <v>9268.8168767999978</v>
      </c>
      <c r="J47" s="173" t="s">
        <v>292</v>
      </c>
      <c r="K47" s="174" t="s">
        <v>45</v>
      </c>
      <c r="L47" s="178">
        <v>306.3</v>
      </c>
      <c r="M47" s="160">
        <f t="shared" si="5"/>
        <v>16.540199999999999</v>
      </c>
      <c r="N47" s="160">
        <f t="shared" si="6"/>
        <v>322.84019999999998</v>
      </c>
      <c r="P47" s="160">
        <f t="shared" si="7"/>
        <v>4842.6030000000001</v>
      </c>
      <c r="Q47" s="58">
        <f t="shared" si="3"/>
        <v>3228.402</v>
      </c>
      <c r="R47" s="178">
        <f t="shared" si="4"/>
        <v>337.43257703999996</v>
      </c>
      <c r="S47" s="177">
        <v>924.36</v>
      </c>
      <c r="T47" s="177">
        <v>2246.4699999999998</v>
      </c>
    </row>
    <row r="48" spans="1:21">
      <c r="A48">
        <v>14</v>
      </c>
      <c r="B48" s="173">
        <v>44</v>
      </c>
      <c r="C48" s="173"/>
      <c r="D48" s="173" t="s">
        <v>293</v>
      </c>
      <c r="E48" s="173" t="s">
        <v>294</v>
      </c>
      <c r="F48" s="175">
        <v>29716</v>
      </c>
      <c r="G48" s="175">
        <v>38565</v>
      </c>
      <c r="H48" s="176">
        <v>12366.111999999999</v>
      </c>
      <c r="I48" s="176">
        <v>12925.060262399998</v>
      </c>
      <c r="J48" s="173" t="s">
        <v>295</v>
      </c>
      <c r="K48" s="174" t="s">
        <v>45</v>
      </c>
      <c r="L48" s="178">
        <v>427.12</v>
      </c>
      <c r="M48" s="160">
        <f t="shared" si="5"/>
        <v>23.06448</v>
      </c>
      <c r="N48" s="160">
        <f t="shared" si="6"/>
        <v>450.18448000000001</v>
      </c>
      <c r="P48" s="160">
        <f t="shared" si="7"/>
        <v>6752.7672000000002</v>
      </c>
      <c r="Q48" s="58">
        <f t="shared" si="3"/>
        <v>6302.5827200000003</v>
      </c>
      <c r="R48" s="178">
        <f t="shared" si="4"/>
        <v>470.53281849599995</v>
      </c>
      <c r="S48" s="177">
        <v>1168.8399999999999</v>
      </c>
      <c r="T48" s="177">
        <v>3132.65</v>
      </c>
    </row>
    <row r="49" spans="2:20" s="51" customFormat="1" ht="24.75" customHeight="1" thickBot="1">
      <c r="B49" s="180" t="s">
        <v>296</v>
      </c>
      <c r="C49" s="180"/>
      <c r="D49" s="181" t="s">
        <v>297</v>
      </c>
      <c r="E49" s="180"/>
      <c r="F49" s="182"/>
      <c r="G49" s="183"/>
      <c r="H49" s="184">
        <f>SUM(H4:H48)</f>
        <v>443324.72</v>
      </c>
      <c r="I49" s="184">
        <f>SUM(I4:I48)</f>
        <v>463362.99734399986</v>
      </c>
      <c r="J49" s="180"/>
      <c r="K49" s="180"/>
      <c r="L49" s="185"/>
      <c r="M49" s="185"/>
      <c r="N49" s="185">
        <f>SUM(N4:N48)</f>
        <v>17072.059600000001</v>
      </c>
      <c r="P49" s="186">
        <f>SUM(P32:P48)</f>
        <v>119973.55260000001</v>
      </c>
      <c r="Q49" s="186">
        <f>SUM(Q4:Q48)</f>
        <v>228281.68616000001</v>
      </c>
      <c r="R49" s="187">
        <f>SUM(R32:R48)</f>
        <v>10070.252782511996</v>
      </c>
      <c r="S49" s="179">
        <f>SUM(S32:S48)</f>
        <v>23411.71</v>
      </c>
      <c r="T49" s="179">
        <f>SUM(T32:T48)</f>
        <v>66054.349999999991</v>
      </c>
    </row>
    <row r="50" spans="2:20" ht="13.5" thickTop="1">
      <c r="P50" s="160">
        <f>+P49*2</f>
        <v>239947.10520000002</v>
      </c>
      <c r="Q50" s="58">
        <f>+Q49*5%</f>
        <v>11414.084308000001</v>
      </c>
      <c r="S50" s="177">
        <f>+S30+S49-S44</f>
        <v>40097.5</v>
      </c>
      <c r="T50" s="177">
        <f>+T30+T49-T44</f>
        <v>100918.01999999999</v>
      </c>
    </row>
    <row r="51" spans="2:20">
      <c r="N51" s="160">
        <f>+N49-N44</f>
        <v>15435.534880000001</v>
      </c>
      <c r="Q51" s="49">
        <f>+Q49+Q50</f>
        <v>239695.770468</v>
      </c>
      <c r="T51" s="19">
        <f>+S50+T50</f>
        <v>141015.51999999999</v>
      </c>
    </row>
    <row r="52" spans="2:20">
      <c r="N52" s="160">
        <f>+N51*30</f>
        <v>463066.04640000005</v>
      </c>
    </row>
  </sheetData>
  <pageMargins left="0.74803149606299213" right="0.74803149606299213" top="0.98425196850393704" bottom="0.98425196850393704" header="0" footer="0"/>
  <pageSetup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73"/>
  <sheetViews>
    <sheetView zoomScale="76" zoomScaleNormal="76" workbookViewId="0">
      <pane xSplit="5" ySplit="9" topLeftCell="AB109" activePane="bottomRight" state="frozen"/>
      <selection pane="topRight" activeCell="F1" sqref="F1"/>
      <selection pane="bottomLeft" activeCell="A9" sqref="A9"/>
      <selection pane="bottomRight" activeCell="AF112" sqref="AF112:AF117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hidden="1" customWidth="1"/>
    <col min="4" max="4" width="55.85546875" customWidth="1"/>
    <col min="5" max="5" width="5.42578125" customWidth="1"/>
    <col min="6" max="6" width="14.7109375" customWidth="1"/>
    <col min="7" max="16" width="14.5703125" style="2" customWidth="1"/>
    <col min="17" max="17" width="1" style="2" customWidth="1"/>
    <col min="18" max="18" width="15.7109375" style="2" customWidth="1"/>
    <col min="19" max="19" width="17.28515625" style="4" customWidth="1"/>
    <col min="20" max="20" width="3.7109375" style="115" customWidth="1"/>
    <col min="21" max="21" width="13.7109375" customWidth="1"/>
    <col min="22" max="29" width="11.42578125" customWidth="1"/>
    <col min="30" max="30" width="11.42578125" style="161" customWidth="1"/>
    <col min="31" max="32" width="11.42578125" customWidth="1"/>
    <col min="33" max="33" width="15.140625" customWidth="1"/>
    <col min="34" max="34" width="15.7109375" style="161" customWidth="1"/>
    <col min="35" max="35" width="17.42578125" bestFit="1" customWidth="1"/>
    <col min="36" max="36" width="18.7109375" bestFit="1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 ht="18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AG2" s="188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U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U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U5" s="3">
        <v>4</v>
      </c>
      <c r="V5" s="3">
        <v>4</v>
      </c>
      <c r="W5" s="3">
        <v>5</v>
      </c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230">
        <v>4</v>
      </c>
      <c r="AE5" s="3">
        <v>4</v>
      </c>
      <c r="AF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G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65">
        <v>40544</v>
      </c>
      <c r="V8" s="65">
        <v>40575</v>
      </c>
      <c r="W8" s="65">
        <v>40603</v>
      </c>
      <c r="X8" s="65">
        <v>40634</v>
      </c>
      <c r="Y8" s="65">
        <v>40664</v>
      </c>
      <c r="Z8" s="65">
        <v>40695</v>
      </c>
      <c r="AA8" s="65">
        <v>40725</v>
      </c>
      <c r="AB8" s="65">
        <v>40756</v>
      </c>
      <c r="AC8" s="65">
        <v>40787</v>
      </c>
      <c r="AD8" s="231">
        <v>40817</v>
      </c>
      <c r="AE8" s="65">
        <v>40848</v>
      </c>
      <c r="AF8" s="65">
        <v>40878</v>
      </c>
      <c r="AG8" s="156" t="s">
        <v>140</v>
      </c>
      <c r="AH8" s="230" t="s">
        <v>298</v>
      </c>
    </row>
    <row r="9" spans="1:35">
      <c r="C9" s="89"/>
      <c r="D9" s="90"/>
      <c r="E9" s="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  <c r="S9" s="192"/>
      <c r="U9" s="190"/>
      <c r="V9" s="190"/>
      <c r="W9" s="190"/>
      <c r="X9" s="190"/>
      <c r="Y9" s="190"/>
      <c r="Z9" s="190"/>
      <c r="AA9" s="190"/>
      <c r="AB9" s="190"/>
      <c r="AC9" s="190"/>
      <c r="AD9" s="232"/>
      <c r="AE9" s="190"/>
      <c r="AF9" s="190"/>
      <c r="AG9" s="191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T10" s="90"/>
      <c r="U10" s="94"/>
      <c r="V10" s="94"/>
      <c r="W10" s="94"/>
      <c r="X10" s="94"/>
      <c r="Y10" s="94"/>
      <c r="Z10" s="94"/>
      <c r="AA10" s="94"/>
      <c r="AB10" s="94"/>
      <c r="AC10" s="94"/>
      <c r="AD10" s="233"/>
      <c r="AE10" s="94"/>
      <c r="AF10" s="94"/>
      <c r="AG10" s="95"/>
    </row>
    <row r="11" spans="1:35">
      <c r="C11" s="92"/>
      <c r="D11" s="193"/>
      <c r="E11" s="19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T11" s="157"/>
      <c r="U11" s="25"/>
      <c r="V11" s="25"/>
      <c r="W11" s="25"/>
      <c r="X11" s="25"/>
      <c r="Y11" s="25"/>
      <c r="Z11" s="25"/>
      <c r="AA11" s="25"/>
      <c r="AB11" s="25"/>
      <c r="AC11" s="25"/>
      <c r="AD11" s="234"/>
      <c r="AE11" s="25"/>
      <c r="AF11" s="25"/>
      <c r="AG11" s="25"/>
    </row>
    <row r="12" spans="1:35">
      <c r="A12" s="15"/>
      <c r="B12" s="15"/>
      <c r="C12" s="17">
        <v>378618</v>
      </c>
      <c r="D12" s="193" t="s">
        <v>5</v>
      </c>
      <c r="E12" s="194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3" si="0">SUM(F12:Q12)</f>
        <v>271846.67</v>
      </c>
      <c r="S12" s="17">
        <v>390530</v>
      </c>
      <c r="T12" s="157"/>
      <c r="U12" s="97">
        <f>+AG12/12</f>
        <v>33333.333333333336</v>
      </c>
      <c r="V12" s="97">
        <f t="shared" ref="V12:V17" si="1">+AG12/12</f>
        <v>33333.333333333336</v>
      </c>
      <c r="W12" s="97">
        <f>+AG12/12</f>
        <v>33333.333333333336</v>
      </c>
      <c r="X12" s="97">
        <f>+AG12/12</f>
        <v>33333.333333333336</v>
      </c>
      <c r="Y12" s="97">
        <f>+AG12/12</f>
        <v>33333.333333333336</v>
      </c>
      <c r="Z12" s="97">
        <f>+AG12/12</f>
        <v>33333.333333333336</v>
      </c>
      <c r="AA12" s="97">
        <f>+AG12/12</f>
        <v>33333.333333333336</v>
      </c>
      <c r="AB12" s="97">
        <f>+AG12/12</f>
        <v>33333.333333333336</v>
      </c>
      <c r="AC12" s="97">
        <f>+AG12/12</f>
        <v>33333.333333333336</v>
      </c>
      <c r="AD12" s="235">
        <f>+AG12/12</f>
        <v>33333.333333333336</v>
      </c>
      <c r="AE12" s="97">
        <f>+AG12/12</f>
        <v>33333.333333333336</v>
      </c>
      <c r="AF12" s="97">
        <f>+AG12/12</f>
        <v>33333.333333333336</v>
      </c>
      <c r="AG12" s="25">
        <v>400000</v>
      </c>
      <c r="AH12" s="259">
        <f>+U12+V12+W12+X12+Y12+Z12+AA12+AB12+AC12+AD12</f>
        <v>333333.33333333331</v>
      </c>
      <c r="AI12" s="50">
        <f>+AG12/12</f>
        <v>33333.333333333336</v>
      </c>
    </row>
    <row r="13" spans="1:35">
      <c r="A13" s="15"/>
      <c r="B13" s="15"/>
      <c r="C13" s="17"/>
      <c r="D13" s="196" t="s">
        <v>13</v>
      </c>
      <c r="E13" s="194"/>
      <c r="F13" s="77"/>
      <c r="G13" s="25">
        <v>8888.25</v>
      </c>
      <c r="H13" s="25">
        <v>5858.65</v>
      </c>
      <c r="I13" s="25">
        <v>4681.05</v>
      </c>
      <c r="J13" s="25">
        <v>5165.5</v>
      </c>
      <c r="K13" s="25">
        <v>6905.15</v>
      </c>
      <c r="L13" s="25">
        <v>3258.6</v>
      </c>
      <c r="M13" s="97">
        <v>8689.65</v>
      </c>
      <c r="N13" s="25">
        <v>4612.05</v>
      </c>
      <c r="O13" s="25">
        <v>5884.5</v>
      </c>
      <c r="P13" s="25">
        <v>6081.03</v>
      </c>
      <c r="Q13" s="25">
        <v>4262.32</v>
      </c>
      <c r="R13" s="25">
        <f>SUM(F13:Q13)</f>
        <v>64286.75</v>
      </c>
      <c r="S13" s="17">
        <v>55521</v>
      </c>
      <c r="T13" s="157"/>
      <c r="U13" s="97">
        <f>+AG13/12</f>
        <v>5833.333333333333</v>
      </c>
      <c r="V13" s="97">
        <f t="shared" si="1"/>
        <v>5833.333333333333</v>
      </c>
      <c r="W13" s="97">
        <f>+AG13/12</f>
        <v>5833.333333333333</v>
      </c>
      <c r="X13" s="97">
        <f>+AG13/12</f>
        <v>5833.333333333333</v>
      </c>
      <c r="Y13" s="97">
        <f>+AG13/12</f>
        <v>5833.333333333333</v>
      </c>
      <c r="Z13" s="97">
        <f>+AG13/12</f>
        <v>5833.333333333333</v>
      </c>
      <c r="AA13" s="97">
        <f>+AG13/12</f>
        <v>5833.333333333333</v>
      </c>
      <c r="AB13" s="97">
        <f>+AG13/12</f>
        <v>5833.333333333333</v>
      </c>
      <c r="AC13" s="97">
        <f>+AG13/12</f>
        <v>5833.333333333333</v>
      </c>
      <c r="AD13" s="235">
        <f>+AG13/12</f>
        <v>5833.333333333333</v>
      </c>
      <c r="AE13" s="97">
        <f>+AG13/12</f>
        <v>5833.333333333333</v>
      </c>
      <c r="AF13" s="97">
        <f>+AG13/12</f>
        <v>5833.333333333333</v>
      </c>
      <c r="AG13" s="25">
        <v>70000</v>
      </c>
      <c r="AH13" s="259">
        <f t="shared" ref="AH13:AH76" si="2">+U13+V13+W13+X13+Y13+Z13+AA13+AB13+AC13+AD13</f>
        <v>58333.333333333343</v>
      </c>
      <c r="AI13" s="50">
        <f t="shared" ref="AI13:AI74" si="3">+AG13/12</f>
        <v>5833.333333333333</v>
      </c>
    </row>
    <row r="14" spans="1:35">
      <c r="A14" s="15"/>
      <c r="B14" s="15"/>
      <c r="C14" s="17"/>
      <c r="D14" s="193" t="s">
        <v>12</v>
      </c>
      <c r="E14" s="194"/>
      <c r="F14" s="77"/>
      <c r="G14" s="25">
        <v>838.3</v>
      </c>
      <c r="H14" s="25">
        <v>2152</v>
      </c>
      <c r="I14" s="25">
        <v>1960</v>
      </c>
      <c r="J14" s="25">
        <v>5222</v>
      </c>
      <c r="K14" s="25">
        <v>23110</v>
      </c>
      <c r="L14" s="25">
        <v>33623</v>
      </c>
      <c r="M14" s="97">
        <v>25626</v>
      </c>
      <c r="N14" s="25">
        <v>1298</v>
      </c>
      <c r="O14" s="25">
        <v>17887.2</v>
      </c>
      <c r="P14" s="25">
        <v>4256</v>
      </c>
      <c r="Q14" s="25">
        <v>653.66999999999996</v>
      </c>
      <c r="R14" s="25">
        <f>SUM(F14:Q14)</f>
        <v>116626.17</v>
      </c>
      <c r="S14" s="17">
        <v>74070</v>
      </c>
      <c r="T14" s="157"/>
      <c r="U14" s="97">
        <f>+AG14/12</f>
        <v>3333.3333333333335</v>
      </c>
      <c r="V14" s="97">
        <f t="shared" si="1"/>
        <v>3333.3333333333335</v>
      </c>
      <c r="W14" s="97">
        <f>+AG14/12</f>
        <v>3333.3333333333335</v>
      </c>
      <c r="X14" s="97">
        <f>+AG14/12</f>
        <v>3333.3333333333335</v>
      </c>
      <c r="Y14" s="97">
        <f>+AG14/12</f>
        <v>3333.3333333333335</v>
      </c>
      <c r="Z14" s="97">
        <f>+AG14/12</f>
        <v>3333.3333333333335</v>
      </c>
      <c r="AA14" s="97">
        <f>+AG14/12</f>
        <v>3333.3333333333335</v>
      </c>
      <c r="AB14" s="97">
        <f>+AG14/12</f>
        <v>3333.3333333333335</v>
      </c>
      <c r="AC14" s="97">
        <f>+AG14/12</f>
        <v>3333.3333333333335</v>
      </c>
      <c r="AD14" s="235">
        <f>+AG14/12</f>
        <v>3333.3333333333335</v>
      </c>
      <c r="AE14" s="97">
        <f>+AG14/12</f>
        <v>3333.3333333333335</v>
      </c>
      <c r="AF14" s="97">
        <f>+AG14/12</f>
        <v>3333.3333333333335</v>
      </c>
      <c r="AG14" s="25">
        <v>40000</v>
      </c>
      <c r="AH14" s="259">
        <f t="shared" si="2"/>
        <v>33333.333333333328</v>
      </c>
      <c r="AI14" s="50">
        <f t="shared" si="3"/>
        <v>3333.3333333333335</v>
      </c>
    </row>
    <row r="15" spans="1:35">
      <c r="A15" s="15"/>
      <c r="B15" s="15"/>
      <c r="C15" s="17"/>
      <c r="D15" s="193" t="s">
        <v>67</v>
      </c>
      <c r="E15" s="194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>SUM(F15:Q15)</f>
        <v>22164.1</v>
      </c>
      <c r="S15" s="17">
        <v>5429</v>
      </c>
      <c r="T15" s="157"/>
      <c r="U15" s="97">
        <f>+AG15/12</f>
        <v>1666.6666666666667</v>
      </c>
      <c r="V15" s="97">
        <f t="shared" si="1"/>
        <v>1666.6666666666667</v>
      </c>
      <c r="W15" s="97">
        <f>+AG15/12</f>
        <v>1666.6666666666667</v>
      </c>
      <c r="X15" s="97">
        <f>+AG15/12</f>
        <v>1666.6666666666667</v>
      </c>
      <c r="Y15" s="97">
        <f>+AG15/12</f>
        <v>1666.6666666666667</v>
      </c>
      <c r="Z15" s="97">
        <f>+AG15/12</f>
        <v>1666.6666666666667</v>
      </c>
      <c r="AA15" s="97">
        <f>+AG15/12</f>
        <v>1666.6666666666667</v>
      </c>
      <c r="AB15" s="97">
        <f>+AG15/12</f>
        <v>1666.6666666666667</v>
      </c>
      <c r="AC15" s="97">
        <f>+AG15/12</f>
        <v>1666.6666666666667</v>
      </c>
      <c r="AD15" s="235">
        <f>+AG15/12</f>
        <v>1666.6666666666667</v>
      </c>
      <c r="AE15" s="97">
        <f>+AG15/12</f>
        <v>1666.6666666666667</v>
      </c>
      <c r="AF15" s="97">
        <f>+AG15/12</f>
        <v>1666.6666666666667</v>
      </c>
      <c r="AG15" s="25">
        <v>20000</v>
      </c>
      <c r="AH15" s="259">
        <f t="shared" si="2"/>
        <v>16666.666666666664</v>
      </c>
      <c r="AI15" s="50">
        <f t="shared" si="3"/>
        <v>1666.6666666666667</v>
      </c>
    </row>
    <row r="16" spans="1:35">
      <c r="A16" s="15"/>
      <c r="B16" s="15"/>
      <c r="C16" s="17">
        <v>0</v>
      </c>
      <c r="D16" s="193"/>
      <c r="E16" s="194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>
        <f t="shared" si="0"/>
        <v>0</v>
      </c>
      <c r="S16" s="17"/>
      <c r="T16" s="157"/>
      <c r="U16" s="77">
        <f t="shared" ref="U16:U40" si="4">+AG16/12</f>
        <v>0</v>
      </c>
      <c r="V16" s="25">
        <f t="shared" si="1"/>
        <v>0</v>
      </c>
      <c r="W16" s="25"/>
      <c r="X16" s="25"/>
      <c r="Y16" s="25"/>
      <c r="Z16" s="25"/>
      <c r="AA16" s="25"/>
      <c r="AB16" s="97"/>
      <c r="AC16" s="25"/>
      <c r="AD16" s="234"/>
      <c r="AE16" s="25"/>
      <c r="AF16" s="25"/>
      <c r="AG16" s="25"/>
      <c r="AH16" s="259">
        <f t="shared" si="2"/>
        <v>0</v>
      </c>
      <c r="AI16" s="50">
        <f t="shared" si="3"/>
        <v>0</v>
      </c>
    </row>
    <row r="17" spans="1:35">
      <c r="A17" s="15"/>
      <c r="B17" s="15"/>
      <c r="C17" s="17"/>
      <c r="D17" s="195" t="s">
        <v>141</v>
      </c>
      <c r="E17" s="194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/>
      <c r="S17" s="17"/>
      <c r="T17" s="157"/>
      <c r="U17" s="77">
        <f t="shared" si="4"/>
        <v>0</v>
      </c>
      <c r="V17" s="25">
        <f t="shared" si="1"/>
        <v>0</v>
      </c>
      <c r="W17" s="25">
        <f>+AG17/12</f>
        <v>0</v>
      </c>
      <c r="X17" s="25">
        <v>0</v>
      </c>
      <c r="Y17" s="25">
        <v>0</v>
      </c>
      <c r="Z17" s="25">
        <v>0</v>
      </c>
      <c r="AA17" s="25">
        <v>0</v>
      </c>
      <c r="AB17" s="97">
        <v>0</v>
      </c>
      <c r="AC17" s="25">
        <v>0</v>
      </c>
      <c r="AD17" s="234">
        <v>0</v>
      </c>
      <c r="AE17" s="25">
        <v>0</v>
      </c>
      <c r="AF17" s="25">
        <v>0</v>
      </c>
      <c r="AG17" s="25"/>
      <c r="AH17" s="259">
        <f t="shared" si="2"/>
        <v>0</v>
      </c>
      <c r="AI17" s="50">
        <f t="shared" si="3"/>
        <v>0</v>
      </c>
    </row>
    <row r="18" spans="1:35">
      <c r="A18" s="15"/>
      <c r="B18" s="15"/>
      <c r="C18" s="17">
        <v>0</v>
      </c>
      <c r="D18" s="196" t="s">
        <v>7</v>
      </c>
      <c r="E18" s="194"/>
      <c r="F18" s="77"/>
      <c r="G18" s="25"/>
      <c r="H18" s="25"/>
      <c r="I18" s="25"/>
      <c r="J18" s="25"/>
      <c r="K18" s="25"/>
      <c r="L18" s="25"/>
      <c r="M18" s="97"/>
      <c r="N18" s="25"/>
      <c r="O18" s="25"/>
      <c r="P18" s="25"/>
      <c r="Q18" s="25"/>
      <c r="R18" s="25">
        <f t="shared" si="0"/>
        <v>0</v>
      </c>
      <c r="S18" s="17"/>
      <c r="T18" s="157"/>
      <c r="U18" s="77">
        <f t="shared" si="4"/>
        <v>0</v>
      </c>
      <c r="V18" s="25"/>
      <c r="W18" s="25"/>
      <c r="X18" s="25"/>
      <c r="Y18" s="25"/>
      <c r="Z18" s="25"/>
      <c r="AA18" s="25"/>
      <c r="AB18" s="97"/>
      <c r="AC18" s="25"/>
      <c r="AD18" s="234"/>
      <c r="AE18" s="25"/>
      <c r="AF18" s="25"/>
      <c r="AG18" s="25"/>
      <c r="AH18" s="259">
        <f t="shared" si="2"/>
        <v>0</v>
      </c>
      <c r="AI18" s="50">
        <f t="shared" si="3"/>
        <v>0</v>
      </c>
    </row>
    <row r="19" spans="1:35">
      <c r="A19" s="15"/>
      <c r="B19" s="15"/>
      <c r="C19" s="17">
        <v>744158.53</v>
      </c>
      <c r="D19" s="196" t="s">
        <v>8</v>
      </c>
      <c r="E19" s="194"/>
      <c r="F19" s="77">
        <v>8000</v>
      </c>
      <c r="G19" s="25">
        <f>23900+2397</f>
        <v>26297</v>
      </c>
      <c r="H19" s="25">
        <v>2500</v>
      </c>
      <c r="I19" s="25">
        <f>3000+10038+1500</f>
        <v>14538</v>
      </c>
      <c r="J19" s="25">
        <v>20534.48</v>
      </c>
      <c r="K19" s="25">
        <v>2500</v>
      </c>
      <c r="L19" s="25"/>
      <c r="M19" s="97">
        <v>11800</v>
      </c>
      <c r="N19" s="25">
        <f>88640+10000</f>
        <v>98640</v>
      </c>
      <c r="O19" s="25">
        <f>53019.75+8000</f>
        <v>61019.75</v>
      </c>
      <c r="P19" s="25">
        <v>30172.400000000001</v>
      </c>
      <c r="Q19" s="25">
        <v>115276.67</v>
      </c>
      <c r="R19" s="25">
        <f t="shared" si="0"/>
        <v>391278.3</v>
      </c>
      <c r="S19" s="17">
        <v>746197</v>
      </c>
      <c r="T19" s="157"/>
      <c r="U19" s="97">
        <f t="shared" si="4"/>
        <v>20833.333333333332</v>
      </c>
      <c r="V19" s="97">
        <f>+AG19/12</f>
        <v>20833.333333333332</v>
      </c>
      <c r="W19" s="97">
        <f>+AG19/12</f>
        <v>20833.333333333332</v>
      </c>
      <c r="X19" s="97">
        <f>+AG19/12</f>
        <v>20833.333333333332</v>
      </c>
      <c r="Y19" s="97">
        <f>+AG19/12</f>
        <v>20833.333333333332</v>
      </c>
      <c r="Z19" s="97">
        <f>+AG19/12</f>
        <v>20833.333333333332</v>
      </c>
      <c r="AA19" s="97">
        <f>+AG19/12</f>
        <v>20833.333333333332</v>
      </c>
      <c r="AB19" s="97">
        <f>+AG19/12</f>
        <v>20833.333333333332</v>
      </c>
      <c r="AC19" s="97">
        <f>+AG19/12</f>
        <v>20833.333333333332</v>
      </c>
      <c r="AD19" s="235">
        <f>+AG19/12</f>
        <v>20833.333333333332</v>
      </c>
      <c r="AE19" s="97">
        <f>+AG19/12</f>
        <v>20833.333333333332</v>
      </c>
      <c r="AF19" s="97">
        <f>+AG19/12</f>
        <v>20833.333333333332</v>
      </c>
      <c r="AG19" s="25">
        <v>250000</v>
      </c>
      <c r="AH19" s="259">
        <f t="shared" si="2"/>
        <v>208333.33333333334</v>
      </c>
      <c r="AI19" s="50">
        <f t="shared" si="3"/>
        <v>20833.333333333332</v>
      </c>
    </row>
    <row r="20" spans="1:35">
      <c r="A20" s="15"/>
      <c r="B20" s="15"/>
      <c r="C20" s="17">
        <v>1304.3499999999999</v>
      </c>
      <c r="D20" s="197" t="s">
        <v>94</v>
      </c>
      <c r="E20" s="194"/>
      <c r="F20" s="77"/>
      <c r="G20" s="25"/>
      <c r="H20" s="25"/>
      <c r="I20" s="25"/>
      <c r="J20" s="25"/>
      <c r="K20" s="25"/>
      <c r="L20" s="25"/>
      <c r="M20" s="97"/>
      <c r="N20" s="25"/>
      <c r="O20" s="25"/>
      <c r="P20" s="25"/>
      <c r="Q20" s="25"/>
      <c r="R20" s="25">
        <f t="shared" si="0"/>
        <v>0</v>
      </c>
      <c r="S20" s="17">
        <v>1304.3499999999999</v>
      </c>
      <c r="T20" s="157"/>
      <c r="U20" s="77">
        <f t="shared" si="4"/>
        <v>0</v>
      </c>
      <c r="V20" s="25"/>
      <c r="W20" s="25"/>
      <c r="X20" s="25"/>
      <c r="Y20" s="25"/>
      <c r="Z20" s="25"/>
      <c r="AA20" s="25"/>
      <c r="AB20" s="97"/>
      <c r="AC20" s="25"/>
      <c r="AD20" s="234"/>
      <c r="AE20" s="25"/>
      <c r="AF20" s="25"/>
      <c r="AG20" s="25"/>
      <c r="AH20" s="259">
        <f t="shared" si="2"/>
        <v>0</v>
      </c>
      <c r="AI20" s="50">
        <f t="shared" si="3"/>
        <v>0</v>
      </c>
    </row>
    <row r="21" spans="1:35">
      <c r="A21" s="15"/>
      <c r="B21" s="15"/>
      <c r="C21" s="17">
        <v>4500</v>
      </c>
      <c r="D21" s="196" t="s">
        <v>10</v>
      </c>
      <c r="E21" s="194"/>
      <c r="F21" s="77"/>
      <c r="G21" s="25"/>
      <c r="H21" s="25">
        <v>1000</v>
      </c>
      <c r="I21" s="25"/>
      <c r="J21" s="25"/>
      <c r="K21" s="25"/>
      <c r="L21" s="25"/>
      <c r="M21" s="97"/>
      <c r="N21" s="25"/>
      <c r="O21" s="25"/>
      <c r="P21" s="25">
        <f>2672.4+2672.4+2586</f>
        <v>7930.8</v>
      </c>
      <c r="Q21" s="25">
        <v>1500</v>
      </c>
      <c r="R21" s="25">
        <f t="shared" si="0"/>
        <v>10430.799999999999</v>
      </c>
      <c r="S21" s="17">
        <v>6000</v>
      </c>
      <c r="T21" s="157"/>
      <c r="U21" s="97">
        <f>+AG21/12</f>
        <v>500</v>
      </c>
      <c r="V21" s="97">
        <f>+AG21/12</f>
        <v>500</v>
      </c>
      <c r="W21" s="97">
        <f>+AG21/12</f>
        <v>500</v>
      </c>
      <c r="X21" s="97">
        <f>+AG21/12</f>
        <v>500</v>
      </c>
      <c r="Y21" s="97">
        <f>+AG21/12</f>
        <v>500</v>
      </c>
      <c r="Z21" s="97">
        <f>+AG21/12</f>
        <v>500</v>
      </c>
      <c r="AA21" s="97">
        <f>+AG21/12</f>
        <v>500</v>
      </c>
      <c r="AB21" s="97">
        <f>+AG21/12</f>
        <v>500</v>
      </c>
      <c r="AC21" s="97">
        <f>+AG21/12</f>
        <v>500</v>
      </c>
      <c r="AD21" s="235">
        <f>+AG21/12</f>
        <v>500</v>
      </c>
      <c r="AE21" s="97">
        <f>+AG21/12</f>
        <v>500</v>
      </c>
      <c r="AF21" s="97">
        <f>+AG21/12</f>
        <v>500</v>
      </c>
      <c r="AG21" s="25">
        <v>6000</v>
      </c>
      <c r="AH21" s="259">
        <f t="shared" si="2"/>
        <v>5000</v>
      </c>
      <c r="AI21" s="50">
        <f t="shared" si="3"/>
        <v>500</v>
      </c>
    </row>
    <row r="22" spans="1:35">
      <c r="A22" s="15"/>
      <c r="B22" s="15"/>
      <c r="C22" s="17">
        <v>0</v>
      </c>
      <c r="D22" s="196" t="s">
        <v>11</v>
      </c>
      <c r="E22" s="194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57"/>
      <c r="U22" s="77">
        <f t="shared" si="4"/>
        <v>0</v>
      </c>
      <c r="V22" s="25"/>
      <c r="W22" s="25"/>
      <c r="X22" s="25"/>
      <c r="Y22" s="25"/>
      <c r="Z22" s="25"/>
      <c r="AA22" s="25"/>
      <c r="AB22" s="97"/>
      <c r="AC22" s="25"/>
      <c r="AD22" s="234"/>
      <c r="AE22" s="25"/>
      <c r="AF22" s="25"/>
      <c r="AG22" s="25"/>
      <c r="AH22" s="259">
        <f t="shared" si="2"/>
        <v>0</v>
      </c>
      <c r="AI22" s="50">
        <f t="shared" si="3"/>
        <v>0</v>
      </c>
    </row>
    <row r="23" spans="1:35">
      <c r="A23" s="15"/>
      <c r="B23" s="15"/>
      <c r="C23" s="17">
        <v>0</v>
      </c>
      <c r="D23" s="196" t="s">
        <v>50</v>
      </c>
      <c r="E23" s="194"/>
      <c r="F23" s="77"/>
      <c r="G23" s="25"/>
      <c r="H23" s="25"/>
      <c r="I23" s="25"/>
      <c r="J23" s="25"/>
      <c r="K23" s="25"/>
      <c r="L23" s="25"/>
      <c r="M23" s="97"/>
      <c r="N23" s="25"/>
      <c r="O23" s="25"/>
      <c r="P23" s="25"/>
      <c r="Q23" s="25"/>
      <c r="R23" s="25">
        <f t="shared" si="0"/>
        <v>0</v>
      </c>
      <c r="S23" s="17"/>
      <c r="T23" s="157"/>
      <c r="U23" s="77"/>
      <c r="V23" s="25"/>
      <c r="W23" s="25"/>
      <c r="X23" s="25"/>
      <c r="Y23" s="25"/>
      <c r="Z23" s="25"/>
      <c r="AA23" s="25"/>
      <c r="AB23" s="97"/>
      <c r="AC23" s="25"/>
      <c r="AD23" s="234"/>
      <c r="AE23" s="25"/>
      <c r="AF23" s="25"/>
      <c r="AG23" s="25">
        <f>SUM(U23:AF23)</f>
        <v>0</v>
      </c>
      <c r="AH23" s="259">
        <f t="shared" si="2"/>
        <v>0</v>
      </c>
      <c r="AI23" s="50">
        <f t="shared" si="3"/>
        <v>0</v>
      </c>
    </row>
    <row r="24" spans="1:35">
      <c r="A24" s="15"/>
      <c r="B24" s="15"/>
      <c r="C24" s="56"/>
      <c r="D24" s="199" t="s">
        <v>299</v>
      </c>
      <c r="E24" s="194"/>
      <c r="F24" s="77"/>
      <c r="G24" s="25"/>
      <c r="H24" s="25"/>
      <c r="I24" s="25"/>
      <c r="J24" s="25"/>
      <c r="K24" s="25"/>
      <c r="L24" s="25"/>
      <c r="M24" s="97">
        <f>4441.63+2955.36</f>
        <v>7396.99</v>
      </c>
      <c r="N24" s="25"/>
      <c r="O24" s="25"/>
      <c r="P24" s="25"/>
      <c r="Q24" s="25">
        <v>3215.59</v>
      </c>
      <c r="R24" s="25">
        <f>SUM(F24:Q24)</f>
        <v>10612.58</v>
      </c>
      <c r="S24" s="17">
        <v>19725</v>
      </c>
      <c r="T24" s="157"/>
      <c r="U24" s="97">
        <f>+AG24/12</f>
        <v>1250</v>
      </c>
      <c r="V24" s="97">
        <f>+AG24/12</f>
        <v>1250</v>
      </c>
      <c r="W24" s="97">
        <f>+AG24/12</f>
        <v>1250</v>
      </c>
      <c r="X24" s="97">
        <f>+AG24/12</f>
        <v>1250</v>
      </c>
      <c r="Y24" s="97">
        <f>+AG24/12</f>
        <v>1250</v>
      </c>
      <c r="Z24" s="97">
        <f>+AG24/12</f>
        <v>1250</v>
      </c>
      <c r="AA24" s="97">
        <f>+AG24/12</f>
        <v>1250</v>
      </c>
      <c r="AB24" s="97">
        <f>+AG24/12</f>
        <v>1250</v>
      </c>
      <c r="AC24" s="97">
        <f>+AG24/12</f>
        <v>1250</v>
      </c>
      <c r="AD24" s="235">
        <f>+AG24/12</f>
        <v>1250</v>
      </c>
      <c r="AE24" s="97">
        <f>+AG24/12</f>
        <v>1250</v>
      </c>
      <c r="AF24" s="97">
        <f>+AG24/12</f>
        <v>1250</v>
      </c>
      <c r="AG24" s="25">
        <v>15000</v>
      </c>
      <c r="AH24" s="259">
        <f t="shared" si="2"/>
        <v>12500</v>
      </c>
      <c r="AI24" s="50">
        <f t="shared" si="3"/>
        <v>1250</v>
      </c>
    </row>
    <row r="25" spans="1:35">
      <c r="A25" s="15"/>
      <c r="B25" s="15"/>
      <c r="C25" s="17"/>
      <c r="D25" s="196"/>
      <c r="E25" s="194"/>
      <c r="F25" s="77"/>
      <c r="G25" s="25"/>
      <c r="H25" s="25"/>
      <c r="I25" s="25"/>
      <c r="J25" s="25"/>
      <c r="K25" s="25"/>
      <c r="L25" s="25"/>
      <c r="M25" s="97"/>
      <c r="N25" s="25"/>
      <c r="O25" s="25"/>
      <c r="P25" s="25"/>
      <c r="Q25" s="25"/>
      <c r="R25" s="25"/>
      <c r="S25" s="17"/>
      <c r="T25" s="157"/>
      <c r="U25" s="77">
        <f t="shared" si="4"/>
        <v>0</v>
      </c>
      <c r="V25" s="25"/>
      <c r="W25" s="25"/>
      <c r="X25" s="25"/>
      <c r="Y25" s="25"/>
      <c r="Z25" s="25"/>
      <c r="AA25" s="25"/>
      <c r="AB25" s="97"/>
      <c r="AC25" s="25"/>
      <c r="AD25" s="234"/>
      <c r="AE25" s="25"/>
      <c r="AF25" s="25"/>
      <c r="AG25" s="25"/>
      <c r="AH25" s="259">
        <f t="shared" si="2"/>
        <v>0</v>
      </c>
      <c r="AI25" s="50">
        <f t="shared" si="3"/>
        <v>0</v>
      </c>
    </row>
    <row r="26" spans="1:35">
      <c r="A26" s="15"/>
      <c r="B26" s="15"/>
      <c r="C26" s="17">
        <v>54361.250000000007</v>
      </c>
      <c r="D26" s="196"/>
      <c r="E26" s="194"/>
      <c r="F26" s="77"/>
      <c r="G26" s="25"/>
      <c r="H26" s="25"/>
      <c r="I26" s="25"/>
      <c r="J26" s="25"/>
      <c r="K26" s="25"/>
      <c r="L26" s="25"/>
      <c r="M26" s="97"/>
      <c r="N26" s="25"/>
      <c r="O26" s="25"/>
      <c r="P26" s="25"/>
      <c r="Q26" s="25"/>
      <c r="R26" s="25"/>
      <c r="S26" s="17"/>
      <c r="T26" s="157"/>
      <c r="U26" s="77">
        <f t="shared" si="4"/>
        <v>0</v>
      </c>
      <c r="V26" s="25"/>
      <c r="W26" s="25"/>
      <c r="X26" s="25"/>
      <c r="Y26" s="25"/>
      <c r="Z26" s="25"/>
      <c r="AA26" s="25"/>
      <c r="AB26" s="97"/>
      <c r="AC26" s="25"/>
      <c r="AD26" s="234"/>
      <c r="AE26" s="25"/>
      <c r="AF26" s="25"/>
      <c r="AG26" s="25"/>
      <c r="AH26" s="259">
        <f t="shared" si="2"/>
        <v>0</v>
      </c>
      <c r="AI26" s="50">
        <f t="shared" si="3"/>
        <v>0</v>
      </c>
    </row>
    <row r="27" spans="1:35">
      <c r="A27" s="15"/>
      <c r="B27" s="15"/>
      <c r="C27" s="17"/>
      <c r="D27" s="196"/>
      <c r="E27" s="194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T27" s="157"/>
      <c r="U27" s="77">
        <f t="shared" si="4"/>
        <v>0</v>
      </c>
      <c r="V27" s="25"/>
      <c r="W27" s="25"/>
      <c r="X27" s="25"/>
      <c r="Y27" s="25"/>
      <c r="Z27" s="25"/>
      <c r="AA27" s="25"/>
      <c r="AB27" s="97"/>
      <c r="AC27" s="25"/>
      <c r="AD27" s="234"/>
      <c r="AE27" s="25"/>
      <c r="AF27" s="25"/>
      <c r="AG27" s="25"/>
      <c r="AH27" s="259">
        <f t="shared" si="2"/>
        <v>0</v>
      </c>
      <c r="AI27" s="50">
        <f t="shared" si="3"/>
        <v>0</v>
      </c>
    </row>
    <row r="28" spans="1:35">
      <c r="A28" s="15"/>
      <c r="B28" s="15"/>
      <c r="C28" s="17"/>
      <c r="D28" s="198" t="s">
        <v>89</v>
      </c>
      <c r="E28" s="194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T28" s="157"/>
      <c r="U28" s="77">
        <f t="shared" si="4"/>
        <v>0</v>
      </c>
      <c r="V28" s="25"/>
      <c r="W28" s="25"/>
      <c r="X28" s="25"/>
      <c r="Y28" s="25"/>
      <c r="Z28" s="25"/>
      <c r="AA28" s="25"/>
      <c r="AB28" s="97"/>
      <c r="AC28" s="25"/>
      <c r="AD28" s="234"/>
      <c r="AE28" s="25"/>
      <c r="AF28" s="25"/>
      <c r="AG28" s="25"/>
      <c r="AH28" s="259">
        <f t="shared" si="2"/>
        <v>0</v>
      </c>
      <c r="AI28" s="50">
        <f t="shared" si="3"/>
        <v>0</v>
      </c>
    </row>
    <row r="29" spans="1:35">
      <c r="A29" s="15"/>
      <c r="B29" s="15"/>
      <c r="C29" s="17">
        <v>4150000</v>
      </c>
      <c r="D29" s="199" t="s">
        <v>300</v>
      </c>
      <c r="E29" s="194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ref="R29:R41" si="5">SUM(F29:Q29)</f>
        <v>7130000</v>
      </c>
      <c r="S29" s="17"/>
      <c r="T29" s="157"/>
      <c r="U29" s="97">
        <f t="shared" si="4"/>
        <v>666666.66666666663</v>
      </c>
      <c r="V29" s="97">
        <f>+AG29/12</f>
        <v>666666.66666666663</v>
      </c>
      <c r="W29" s="97">
        <f>+AG29/12</f>
        <v>666666.66666666663</v>
      </c>
      <c r="X29" s="97">
        <f>+AG29/12</f>
        <v>666666.66666666663</v>
      </c>
      <c r="Y29" s="97">
        <f>+AG29/12</f>
        <v>666666.66666666663</v>
      </c>
      <c r="Z29" s="97">
        <f>+AG29/12</f>
        <v>666666.66666666663</v>
      </c>
      <c r="AA29" s="97">
        <f>+AG29/12</f>
        <v>666666.66666666663</v>
      </c>
      <c r="AB29" s="97">
        <f>+AG29/12</f>
        <v>666666.66666666663</v>
      </c>
      <c r="AC29" s="97">
        <f>+AG29/12</f>
        <v>666666.66666666663</v>
      </c>
      <c r="AD29" s="235">
        <f>+AG29/12</f>
        <v>666666.66666666663</v>
      </c>
      <c r="AE29" s="97">
        <f>+AG29/12</f>
        <v>666666.66666666663</v>
      </c>
      <c r="AF29" s="97">
        <f>+AG29/12</f>
        <v>666666.66666666663</v>
      </c>
      <c r="AG29" s="25">
        <v>8000000</v>
      </c>
      <c r="AH29" s="259">
        <f t="shared" si="2"/>
        <v>6666666.666666667</v>
      </c>
      <c r="AI29" s="50">
        <f t="shared" si="3"/>
        <v>666666.66666666663</v>
      </c>
    </row>
    <row r="30" spans="1:35">
      <c r="A30" s="15"/>
      <c r="B30" s="15"/>
      <c r="C30" s="17">
        <v>125000</v>
      </c>
      <c r="D30" s="199" t="s">
        <v>301</v>
      </c>
      <c r="E30" s="194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5"/>
        <v>833333.3</v>
      </c>
      <c r="S30" s="17">
        <v>1000000</v>
      </c>
      <c r="T30" s="157"/>
      <c r="U30" s="97">
        <f>+AG30/12</f>
        <v>333333.33333333331</v>
      </c>
      <c r="V30" s="97">
        <f>+AG30/12</f>
        <v>333333.33333333331</v>
      </c>
      <c r="W30" s="97">
        <f>+AG30/12</f>
        <v>333333.33333333331</v>
      </c>
      <c r="X30" s="97">
        <f>+AG30/12</f>
        <v>333333.33333333331</v>
      </c>
      <c r="Y30" s="97">
        <f>+AG30/12</f>
        <v>333333.33333333331</v>
      </c>
      <c r="Z30" s="97">
        <f>+AG30/12</f>
        <v>333333.33333333331</v>
      </c>
      <c r="AA30" s="97">
        <f>+AG30/12</f>
        <v>333333.33333333331</v>
      </c>
      <c r="AB30" s="97">
        <f>+AG30/12</f>
        <v>333333.33333333331</v>
      </c>
      <c r="AC30" s="97">
        <f>+AG30/12</f>
        <v>333333.33333333331</v>
      </c>
      <c r="AD30" s="235">
        <f>+AG30/12</f>
        <v>333333.33333333331</v>
      </c>
      <c r="AE30" s="97">
        <f>+AG30/12</f>
        <v>333333.33333333331</v>
      </c>
      <c r="AF30" s="97">
        <f>+AG30/12</f>
        <v>333333.33333333331</v>
      </c>
      <c r="AG30" s="25">
        <v>4000000</v>
      </c>
      <c r="AH30" s="259">
        <f t="shared" si="2"/>
        <v>3333333.3333333335</v>
      </c>
      <c r="AI30" s="50">
        <f t="shared" si="3"/>
        <v>333333.33333333331</v>
      </c>
    </row>
    <row r="31" spans="1:35">
      <c r="A31" s="15"/>
      <c r="B31" s="15"/>
      <c r="C31" s="17">
        <v>1050000</v>
      </c>
      <c r="D31" s="199" t="s">
        <v>86</v>
      </c>
      <c r="E31" s="194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5"/>
        <v>1000000</v>
      </c>
      <c r="S31" s="17">
        <v>1000000</v>
      </c>
      <c r="T31" s="157"/>
      <c r="U31" s="97">
        <f>+AG31/12</f>
        <v>83333.333333333328</v>
      </c>
      <c r="V31" s="97">
        <f>+AG31/12</f>
        <v>83333.333333333328</v>
      </c>
      <c r="W31" s="97">
        <f>+AG31/12</f>
        <v>83333.333333333328</v>
      </c>
      <c r="X31" s="97">
        <f>+AG31/12</f>
        <v>83333.333333333328</v>
      </c>
      <c r="Y31" s="97">
        <f>+AG31/12</f>
        <v>83333.333333333328</v>
      </c>
      <c r="Z31" s="97">
        <f>+AG31/12</f>
        <v>83333.333333333328</v>
      </c>
      <c r="AA31" s="97">
        <f>+AG31/12</f>
        <v>83333.333333333328</v>
      </c>
      <c r="AB31" s="97">
        <f>+AG31/12</f>
        <v>83333.333333333328</v>
      </c>
      <c r="AC31" s="97">
        <f>+AG31/12</f>
        <v>83333.333333333328</v>
      </c>
      <c r="AD31" s="235">
        <f>+AG31/12</f>
        <v>83333.333333333328</v>
      </c>
      <c r="AE31" s="97">
        <f>+AG31/12</f>
        <v>83333.333333333328</v>
      </c>
      <c r="AF31" s="97">
        <f>+AG31/12</f>
        <v>83333.333333333328</v>
      </c>
      <c r="AG31" s="25">
        <v>1000000</v>
      </c>
      <c r="AH31" s="259">
        <f t="shared" si="2"/>
        <v>833333.33333333337</v>
      </c>
      <c r="AI31" s="50">
        <f t="shared" si="3"/>
        <v>83333.333333333328</v>
      </c>
    </row>
    <row r="32" spans="1:35">
      <c r="A32" s="15"/>
      <c r="B32" s="15"/>
      <c r="C32" s="17"/>
      <c r="D32" s="199" t="s">
        <v>87</v>
      </c>
      <c r="E32" s="194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5"/>
        <v>1000000</v>
      </c>
      <c r="S32" s="17"/>
      <c r="T32" s="157"/>
      <c r="U32" s="77">
        <f t="shared" si="4"/>
        <v>0</v>
      </c>
      <c r="V32" s="25"/>
      <c r="W32" s="25"/>
      <c r="X32" s="25"/>
      <c r="Y32" s="25"/>
      <c r="Z32" s="25"/>
      <c r="AA32" s="25"/>
      <c r="AB32" s="97"/>
      <c r="AC32" s="25"/>
      <c r="AD32" s="234"/>
      <c r="AE32" s="25"/>
      <c r="AF32" s="25"/>
      <c r="AG32" s="25"/>
      <c r="AH32" s="259">
        <f t="shared" si="2"/>
        <v>0</v>
      </c>
      <c r="AI32" s="50">
        <f t="shared" si="3"/>
        <v>0</v>
      </c>
    </row>
    <row r="33" spans="1:36">
      <c r="A33" s="15"/>
      <c r="B33" s="15"/>
      <c r="C33" s="17"/>
      <c r="D33" s="199" t="s">
        <v>84</v>
      </c>
      <c r="E33" s="194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5"/>
        <v>100000</v>
      </c>
      <c r="S33" s="17"/>
      <c r="T33" s="157"/>
      <c r="U33" s="77">
        <f t="shared" si="4"/>
        <v>0</v>
      </c>
      <c r="V33" s="25"/>
      <c r="W33" s="25"/>
      <c r="X33" s="25"/>
      <c r="Y33" s="25"/>
      <c r="Z33" s="25"/>
      <c r="AA33" s="25"/>
      <c r="AB33" s="97"/>
      <c r="AC33" s="25"/>
      <c r="AD33" s="234"/>
      <c r="AE33" s="25"/>
      <c r="AF33" s="25"/>
      <c r="AG33" s="25"/>
      <c r="AH33" s="259">
        <f t="shared" si="2"/>
        <v>0</v>
      </c>
      <c r="AI33" s="50">
        <f t="shared" si="3"/>
        <v>0</v>
      </c>
    </row>
    <row r="34" spans="1:36">
      <c r="A34" s="15"/>
      <c r="B34" s="15"/>
      <c r="C34" s="17">
        <v>5000000</v>
      </c>
      <c r="D34" s="199" t="s">
        <v>302</v>
      </c>
      <c r="E34" s="194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5"/>
        <v>7000000</v>
      </c>
      <c r="S34" s="17">
        <v>7000000</v>
      </c>
      <c r="T34" s="157"/>
      <c r="U34" s="97">
        <f t="shared" si="4"/>
        <v>490000</v>
      </c>
      <c r="V34" s="97">
        <f>+AG34/12</f>
        <v>490000</v>
      </c>
      <c r="W34" s="97">
        <f>+AG34/12</f>
        <v>490000</v>
      </c>
      <c r="X34" s="97">
        <f>+AG34/12</f>
        <v>490000</v>
      </c>
      <c r="Y34" s="97">
        <f>+AG34/12</f>
        <v>490000</v>
      </c>
      <c r="Z34" s="97">
        <f>+AG34/12</f>
        <v>490000</v>
      </c>
      <c r="AA34" s="97">
        <f>+AG34/12</f>
        <v>490000</v>
      </c>
      <c r="AB34" s="97">
        <f>+AG34/12</f>
        <v>490000</v>
      </c>
      <c r="AC34" s="97">
        <f>+AG34/12</f>
        <v>490000</v>
      </c>
      <c r="AD34" s="235">
        <f>+AG34/12</f>
        <v>490000</v>
      </c>
      <c r="AE34" s="97">
        <f>+AG34/12</f>
        <v>490000</v>
      </c>
      <c r="AF34" s="97">
        <f>+AG34/12</f>
        <v>490000</v>
      </c>
      <c r="AG34" s="25">
        <v>5880000</v>
      </c>
      <c r="AH34" s="259">
        <f t="shared" si="2"/>
        <v>4900000</v>
      </c>
      <c r="AI34" s="50">
        <f t="shared" si="3"/>
        <v>490000</v>
      </c>
    </row>
    <row r="35" spans="1:36">
      <c r="A35" s="15"/>
      <c r="B35" s="15"/>
      <c r="C35" s="17"/>
      <c r="D35" s="199" t="s">
        <v>303</v>
      </c>
      <c r="E35" s="194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/>
      <c r="S35" s="17"/>
      <c r="T35" s="157"/>
      <c r="U35" s="97">
        <f>+AG35/12</f>
        <v>521458.33333333331</v>
      </c>
      <c r="V35" s="97">
        <f>+AG35/12</f>
        <v>521458.33333333331</v>
      </c>
      <c r="W35" s="97">
        <f>+AG35/12</f>
        <v>521458.33333333331</v>
      </c>
      <c r="X35" s="97">
        <f>+AG35/12</f>
        <v>521458.33333333331</v>
      </c>
      <c r="Y35" s="97">
        <f>+AG35/12</f>
        <v>521458.33333333331</v>
      </c>
      <c r="Z35" s="97">
        <f>+AG35/12</f>
        <v>521458.33333333331</v>
      </c>
      <c r="AA35" s="97">
        <f>+AG35/12</f>
        <v>521458.33333333331</v>
      </c>
      <c r="AB35" s="97">
        <f>+AG35/12</f>
        <v>521458.33333333331</v>
      </c>
      <c r="AC35" s="97">
        <f>+AG35/12</f>
        <v>521458.33333333331</v>
      </c>
      <c r="AD35" s="235">
        <f>+AG35/12</f>
        <v>521458.33333333331</v>
      </c>
      <c r="AE35" s="97">
        <f>+AG35/12</f>
        <v>521458.33333333331</v>
      </c>
      <c r="AF35" s="97">
        <f>+AG35/12</f>
        <v>521458.33333333331</v>
      </c>
      <c r="AG35" s="25">
        <v>6257500</v>
      </c>
      <c r="AH35" s="259">
        <f t="shared" si="2"/>
        <v>5214583.333333333</v>
      </c>
      <c r="AI35" s="50">
        <f t="shared" si="3"/>
        <v>521458.33333333331</v>
      </c>
    </row>
    <row r="36" spans="1:36">
      <c r="A36" s="15"/>
      <c r="B36" s="15"/>
      <c r="C36" s="17">
        <v>800000</v>
      </c>
      <c r="D36" s="199" t="s">
        <v>304</v>
      </c>
      <c r="E36" s="194"/>
      <c r="F36" s="77"/>
      <c r="G36" s="25"/>
      <c r="H36" s="25"/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5"/>
        <v>0</v>
      </c>
      <c r="S36" s="17"/>
      <c r="T36" s="157"/>
      <c r="U36" s="97">
        <f>+AG36/12</f>
        <v>250000</v>
      </c>
      <c r="V36" s="97">
        <f>+AG36/12</f>
        <v>250000</v>
      </c>
      <c r="W36" s="97">
        <f>+AG36/12</f>
        <v>250000</v>
      </c>
      <c r="X36" s="97">
        <f>+AG36/12</f>
        <v>250000</v>
      </c>
      <c r="Y36" s="97">
        <f>+AG36/12</f>
        <v>250000</v>
      </c>
      <c r="Z36" s="97">
        <f>+AG36/12</f>
        <v>250000</v>
      </c>
      <c r="AA36" s="97">
        <f>+AG36/12</f>
        <v>250000</v>
      </c>
      <c r="AB36" s="97">
        <f>+AG36/12</f>
        <v>250000</v>
      </c>
      <c r="AC36" s="97">
        <f>+AG36/12</f>
        <v>250000</v>
      </c>
      <c r="AD36" s="235">
        <f>+AG36/12</f>
        <v>250000</v>
      </c>
      <c r="AE36" s="97">
        <f>+AG36/12</f>
        <v>250000</v>
      </c>
      <c r="AF36" s="97">
        <f>+AG36/12</f>
        <v>250000</v>
      </c>
      <c r="AG36" s="25">
        <v>3000000</v>
      </c>
      <c r="AH36" s="259">
        <f t="shared" si="2"/>
        <v>2500000</v>
      </c>
      <c r="AI36" s="50">
        <f t="shared" si="3"/>
        <v>250000</v>
      </c>
    </row>
    <row r="37" spans="1:36">
      <c r="A37" s="15"/>
      <c r="B37" s="15"/>
      <c r="C37" s="17">
        <v>50000</v>
      </c>
      <c r="D37" s="199" t="s">
        <v>88</v>
      </c>
      <c r="E37" s="194"/>
      <c r="F37" s="77"/>
      <c r="G37" s="25"/>
      <c r="H37" s="25">
        <v>25000</v>
      </c>
      <c r="I37" s="25"/>
      <c r="J37" s="25"/>
      <c r="K37" s="25"/>
      <c r="L37" s="25"/>
      <c r="M37" s="97"/>
      <c r="N37" s="25"/>
      <c r="O37" s="25"/>
      <c r="P37" s="25"/>
      <c r="Q37" s="25"/>
      <c r="R37" s="25">
        <f t="shared" si="5"/>
        <v>25000</v>
      </c>
      <c r="S37" s="17"/>
      <c r="T37" s="157"/>
      <c r="U37" s="77">
        <f t="shared" si="4"/>
        <v>0</v>
      </c>
      <c r="V37" s="25"/>
      <c r="W37" s="25"/>
      <c r="X37" s="25"/>
      <c r="Y37" s="25"/>
      <c r="Z37" s="25"/>
      <c r="AA37" s="25"/>
      <c r="AB37" s="97"/>
      <c r="AC37" s="25"/>
      <c r="AD37" s="234"/>
      <c r="AE37" s="25"/>
      <c r="AF37" s="25"/>
      <c r="AG37" s="25"/>
      <c r="AH37" s="259">
        <f t="shared" si="2"/>
        <v>0</v>
      </c>
      <c r="AI37" s="50">
        <f t="shared" si="3"/>
        <v>0</v>
      </c>
    </row>
    <row r="38" spans="1:36">
      <c r="A38" s="15"/>
      <c r="B38" s="15"/>
      <c r="C38" s="17">
        <f>472250+800</f>
        <v>473050</v>
      </c>
      <c r="D38" s="199" t="s">
        <v>38</v>
      </c>
      <c r="E38" s="194"/>
      <c r="F38" s="77"/>
      <c r="G38" s="25"/>
      <c r="H38" s="25"/>
      <c r="I38" s="25"/>
      <c r="J38" s="25"/>
      <c r="K38" s="25"/>
      <c r="L38" s="25"/>
      <c r="M38" s="97"/>
      <c r="N38" s="25"/>
      <c r="O38" s="25"/>
      <c r="P38" s="25">
        <v>24900</v>
      </c>
      <c r="Q38" s="25"/>
      <c r="R38" s="25">
        <f t="shared" si="5"/>
        <v>24900</v>
      </c>
      <c r="S38" s="17">
        <f>12291334-9000000</f>
        <v>3291334</v>
      </c>
      <c r="T38" s="157"/>
      <c r="U38" s="77">
        <f t="shared" si="4"/>
        <v>60833.333333333336</v>
      </c>
      <c r="V38" s="25">
        <f>+AG38/12</f>
        <v>60833.333333333336</v>
      </c>
      <c r="W38" s="25">
        <f>+AG38/12</f>
        <v>60833.333333333336</v>
      </c>
      <c r="X38" s="25">
        <v>2500</v>
      </c>
      <c r="Y38" s="25">
        <v>2500</v>
      </c>
      <c r="Z38" s="25">
        <v>2500</v>
      </c>
      <c r="AA38" s="25">
        <v>2500</v>
      </c>
      <c r="AB38" s="97">
        <v>2500</v>
      </c>
      <c r="AC38" s="25">
        <v>2500</v>
      </c>
      <c r="AD38" s="234">
        <v>2500</v>
      </c>
      <c r="AE38" s="25">
        <v>2500</v>
      </c>
      <c r="AF38" s="25">
        <v>2500</v>
      </c>
      <c r="AG38" s="25">
        <v>730000</v>
      </c>
      <c r="AH38" s="259">
        <f t="shared" si="2"/>
        <v>200000</v>
      </c>
      <c r="AI38" s="50">
        <f t="shared" si="3"/>
        <v>60833.333333333336</v>
      </c>
    </row>
    <row r="39" spans="1:36">
      <c r="A39" s="15"/>
      <c r="B39" s="15"/>
      <c r="C39" s="76">
        <f>SUM(C29:C38)</f>
        <v>11648050</v>
      </c>
      <c r="D39" s="198" t="s">
        <v>90</v>
      </c>
      <c r="E39" s="194"/>
      <c r="F39" s="76">
        <f>SUM(F29:F38)</f>
        <v>8130000</v>
      </c>
      <c r="G39" s="76">
        <f t="shared" ref="G39:S39" si="6">SUM(G29:G38)</f>
        <v>500000</v>
      </c>
      <c r="H39" s="76">
        <f t="shared" si="6"/>
        <v>1025000</v>
      </c>
      <c r="I39" s="76">
        <f t="shared" si="6"/>
        <v>0</v>
      </c>
      <c r="J39" s="76">
        <f t="shared" si="6"/>
        <v>0</v>
      </c>
      <c r="K39" s="76">
        <f t="shared" si="6"/>
        <v>500000</v>
      </c>
      <c r="L39" s="76">
        <f t="shared" si="6"/>
        <v>0</v>
      </c>
      <c r="M39" s="76">
        <f t="shared" si="6"/>
        <v>1599999.98</v>
      </c>
      <c r="N39" s="76">
        <f t="shared" si="6"/>
        <v>2166666.66</v>
      </c>
      <c r="O39" s="76">
        <f t="shared" si="6"/>
        <v>1500000</v>
      </c>
      <c r="P39" s="76">
        <f t="shared" si="6"/>
        <v>1524900</v>
      </c>
      <c r="Q39" s="76">
        <f t="shared" si="6"/>
        <v>166666.66</v>
      </c>
      <c r="R39" s="76">
        <f t="shared" si="6"/>
        <v>17113233.300000001</v>
      </c>
      <c r="S39" s="76">
        <f t="shared" si="6"/>
        <v>12291334</v>
      </c>
      <c r="T39" s="157"/>
      <c r="U39" s="76">
        <f t="shared" ref="U39:AG39" si="7">SUM(U29:U38)</f>
        <v>2405625</v>
      </c>
      <c r="V39" s="76">
        <f t="shared" si="7"/>
        <v>2405625</v>
      </c>
      <c r="W39" s="76">
        <f t="shared" si="7"/>
        <v>2405625</v>
      </c>
      <c r="X39" s="76">
        <f t="shared" si="7"/>
        <v>2347291.6666666665</v>
      </c>
      <c r="Y39" s="76">
        <f t="shared" si="7"/>
        <v>2347291.6666666665</v>
      </c>
      <c r="Z39" s="76">
        <f t="shared" si="7"/>
        <v>2347291.6666666665</v>
      </c>
      <c r="AA39" s="76">
        <f t="shared" si="7"/>
        <v>2347291.6666666665</v>
      </c>
      <c r="AB39" s="76">
        <f t="shared" si="7"/>
        <v>2347291.6666666665</v>
      </c>
      <c r="AC39" s="76">
        <f t="shared" si="7"/>
        <v>2347291.6666666665</v>
      </c>
      <c r="AD39" s="236">
        <f t="shared" si="7"/>
        <v>2347291.6666666665</v>
      </c>
      <c r="AE39" s="76">
        <f t="shared" si="7"/>
        <v>2347291.6666666665</v>
      </c>
      <c r="AF39" s="76">
        <f t="shared" si="7"/>
        <v>2347291.6666666665</v>
      </c>
      <c r="AG39" s="76">
        <f t="shared" si="7"/>
        <v>28867500</v>
      </c>
      <c r="AH39" s="259">
        <f t="shared" si="2"/>
        <v>23647916.666666668</v>
      </c>
      <c r="AI39" s="50">
        <f t="shared" si="3"/>
        <v>2405625</v>
      </c>
    </row>
    <row r="40" spans="1:36">
      <c r="A40" s="15"/>
      <c r="B40" s="15"/>
      <c r="C40" s="17"/>
      <c r="D40" s="193"/>
      <c r="E40" s="194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/>
      <c r="S40" s="17"/>
      <c r="T40" s="157"/>
      <c r="U40" s="77">
        <f t="shared" si="4"/>
        <v>0</v>
      </c>
      <c r="V40" s="25"/>
      <c r="W40" s="25"/>
      <c r="X40" s="25"/>
      <c r="Y40" s="25"/>
      <c r="Z40" s="25"/>
      <c r="AA40" s="25"/>
      <c r="AB40" s="97"/>
      <c r="AC40" s="25"/>
      <c r="AD40" s="234"/>
      <c r="AE40" s="25"/>
      <c r="AF40" s="25"/>
      <c r="AG40" s="25"/>
      <c r="AH40" s="259">
        <f t="shared" si="2"/>
        <v>0</v>
      </c>
      <c r="AI40" s="50">
        <f t="shared" si="3"/>
        <v>0</v>
      </c>
    </row>
    <row r="41" spans="1:36">
      <c r="A41" s="15"/>
      <c r="B41" s="15"/>
      <c r="C41" s="17">
        <v>61315.78</v>
      </c>
      <c r="D41" s="193" t="s">
        <v>57</v>
      </c>
      <c r="E41" s="194"/>
      <c r="F41" s="77">
        <v>9635.51</v>
      </c>
      <c r="G41" s="25">
        <f>21066.91</f>
        <v>21066.91</v>
      </c>
      <c r="H41" s="25">
        <v>23888.57</v>
      </c>
      <c r="I41" s="25">
        <v>18751.509999999998</v>
      </c>
      <c r="J41" s="25">
        <v>15041.54</v>
      </c>
      <c r="K41" s="25">
        <v>9001.07</v>
      </c>
      <c r="L41" s="25">
        <v>4962.16</v>
      </c>
      <c r="M41" s="97">
        <f>-80+1890.52</f>
        <v>1810.52</v>
      </c>
      <c r="N41" s="25">
        <v>3195.76</v>
      </c>
      <c r="O41" s="25">
        <v>1557.7</v>
      </c>
      <c r="P41" s="25">
        <v>1286</v>
      </c>
      <c r="Q41" s="25">
        <v>2324.69</v>
      </c>
      <c r="R41" s="25">
        <f t="shared" si="5"/>
        <v>112521.94000000002</v>
      </c>
      <c r="S41" s="17">
        <v>34182</v>
      </c>
      <c r="T41" s="157"/>
      <c r="U41" s="77"/>
      <c r="V41" s="25"/>
      <c r="W41" s="25"/>
      <c r="X41" s="25"/>
      <c r="Y41" s="25"/>
      <c r="Z41" s="25"/>
      <c r="AA41" s="25"/>
      <c r="AB41" s="97"/>
      <c r="AC41" s="25"/>
      <c r="AD41" s="234"/>
      <c r="AE41" s="25"/>
      <c r="AF41" s="25"/>
      <c r="AG41" s="25">
        <f>SUM(U41:AF41)</f>
        <v>0</v>
      </c>
      <c r="AH41" s="259">
        <f t="shared" si="2"/>
        <v>0</v>
      </c>
      <c r="AI41" s="50">
        <f t="shared" si="3"/>
        <v>0</v>
      </c>
    </row>
    <row r="42" spans="1:36">
      <c r="A42" s="15"/>
      <c r="B42" s="15"/>
      <c r="C42" s="17"/>
      <c r="D42" s="199" t="s">
        <v>316</v>
      </c>
      <c r="E42" s="194"/>
      <c r="F42" s="78"/>
      <c r="G42" s="79"/>
      <c r="H42" s="79"/>
      <c r="I42" s="25"/>
      <c r="J42" s="25"/>
      <c r="K42" s="25"/>
      <c r="L42" s="25"/>
      <c r="M42" s="97"/>
      <c r="N42" s="25"/>
      <c r="O42" s="25"/>
      <c r="P42" s="25"/>
      <c r="Q42" s="25"/>
      <c r="R42" s="25"/>
      <c r="S42" s="17"/>
      <c r="T42" s="157"/>
      <c r="U42" s="97">
        <f>+AG42/12</f>
        <v>1166666.6666666667</v>
      </c>
      <c r="V42" s="97">
        <f>+AG42/12</f>
        <v>1166666.6666666667</v>
      </c>
      <c r="W42" s="97">
        <f>+AG42/12</f>
        <v>1166666.6666666667</v>
      </c>
      <c r="X42" s="97">
        <f>+AG42/12</f>
        <v>1166666.6666666667</v>
      </c>
      <c r="Y42" s="97">
        <f>+AG42/12</f>
        <v>1166666.6666666667</v>
      </c>
      <c r="Z42" s="97">
        <f>+AG42/12</f>
        <v>1166666.6666666667</v>
      </c>
      <c r="AA42" s="97">
        <f>+AG42/12</f>
        <v>1166666.6666666667</v>
      </c>
      <c r="AB42" s="97">
        <f>+AG42/12</f>
        <v>1166666.6666666667</v>
      </c>
      <c r="AC42" s="97">
        <f>+AG42/12</f>
        <v>1166666.6666666667</v>
      </c>
      <c r="AD42" s="235">
        <f>+AG42/12</f>
        <v>1166666.6666666667</v>
      </c>
      <c r="AE42" s="97">
        <f>+AG42/12</f>
        <v>1166666.6666666667</v>
      </c>
      <c r="AF42" s="97">
        <f>+AG42/12</f>
        <v>1166666.6666666667</v>
      </c>
      <c r="AG42" s="25">
        <v>14000000</v>
      </c>
      <c r="AH42" s="259">
        <f t="shared" si="2"/>
        <v>11666666.666666666</v>
      </c>
      <c r="AI42" s="50">
        <f t="shared" si="3"/>
        <v>1166666.6666666667</v>
      </c>
    </row>
    <row r="43" spans="1:36">
      <c r="A43" s="15"/>
      <c r="B43" s="15"/>
      <c r="C43" s="17"/>
      <c r="D43" s="200" t="s">
        <v>147</v>
      </c>
      <c r="E43" s="201"/>
      <c r="F43" s="78"/>
      <c r="G43" s="79"/>
      <c r="H43" s="79"/>
      <c r="I43" s="79"/>
      <c r="J43" s="79"/>
      <c r="K43" s="79"/>
      <c r="L43" s="79"/>
      <c r="M43" s="128"/>
      <c r="N43" s="79"/>
      <c r="O43" s="79"/>
      <c r="P43" s="79"/>
      <c r="Q43" s="79"/>
      <c r="R43" s="79"/>
      <c r="S43" s="20"/>
      <c r="T43" s="202"/>
      <c r="U43" s="97">
        <f>+AG43/12</f>
        <v>125000</v>
      </c>
      <c r="V43" s="97">
        <f>+AG43/12</f>
        <v>125000</v>
      </c>
      <c r="W43" s="97">
        <f>+AG43/12</f>
        <v>125000</v>
      </c>
      <c r="X43" s="97">
        <f>+AG43/12</f>
        <v>125000</v>
      </c>
      <c r="Y43" s="97">
        <f>+AG43/12</f>
        <v>125000</v>
      </c>
      <c r="Z43" s="97">
        <f>+AG43/12</f>
        <v>125000</v>
      </c>
      <c r="AA43" s="97">
        <f>+AG43/12</f>
        <v>125000</v>
      </c>
      <c r="AB43" s="97">
        <f>+AG43/12</f>
        <v>125000</v>
      </c>
      <c r="AC43" s="97">
        <f>+AG43/12</f>
        <v>125000</v>
      </c>
      <c r="AD43" s="235">
        <f>+AG43/12</f>
        <v>125000</v>
      </c>
      <c r="AE43" s="97">
        <f>+AG43/12</f>
        <v>125000</v>
      </c>
      <c r="AF43" s="97">
        <f>+AG43/12</f>
        <v>125000</v>
      </c>
      <c r="AG43" s="79">
        <v>1500000</v>
      </c>
      <c r="AH43" s="259">
        <f t="shared" si="2"/>
        <v>1250000</v>
      </c>
      <c r="AI43" s="50">
        <f t="shared" si="3"/>
        <v>125000</v>
      </c>
    </row>
    <row r="44" spans="1:36">
      <c r="A44" s="15"/>
      <c r="B44" s="15"/>
      <c r="C44" s="140">
        <v>13277748.549999999</v>
      </c>
      <c r="D44" s="141" t="s">
        <v>135</v>
      </c>
      <c r="E44" s="142"/>
      <c r="F44" s="140" t="e">
        <f>SUM(F12:F23)+#REF!+F26+F41+#REF!+F39</f>
        <v>#REF!</v>
      </c>
      <c r="G44" s="140" t="e">
        <f>SUM(G12:G23)+#REF!+G26+G41+#REF!+G39</f>
        <v>#REF!</v>
      </c>
      <c r="H44" s="140" t="e">
        <f>SUM(H12:H23)+#REF!+H26+H41+#REF!+H39</f>
        <v>#REF!</v>
      </c>
      <c r="I44" s="140" t="e">
        <f>SUM(I12:I23)+#REF!+I26+I41+#REF!+I39</f>
        <v>#REF!</v>
      </c>
      <c r="J44" s="140" t="e">
        <f>SUM(J12:J23)+#REF!+J26+J41+#REF!+J39</f>
        <v>#REF!</v>
      </c>
      <c r="K44" s="140" t="e">
        <f>SUM(K12:K23)+#REF!+K26+K41+#REF!+K39</f>
        <v>#REF!</v>
      </c>
      <c r="L44" s="140" t="e">
        <f>SUM(L12:L23)+#REF!+L26+L41+#REF!+L39</f>
        <v>#REF!</v>
      </c>
      <c r="M44" s="140" t="e">
        <f>SUM(M12:M23)+#REF!+M26+M41+#REF!+M39</f>
        <v>#REF!</v>
      </c>
      <c r="N44" s="140" t="e">
        <f>SUM(N12:N23)+#REF!+N26+N41+#REF!+N39</f>
        <v>#REF!</v>
      </c>
      <c r="O44" s="140" t="e">
        <f>SUM(O12:O23)+#REF!+O26+O41+#REF!+O39</f>
        <v>#REF!</v>
      </c>
      <c r="P44" s="140" t="e">
        <f>SUM(P12:P23)+#REF!+P26+P41+#REF!+P39</f>
        <v>#REF!</v>
      </c>
      <c r="Q44" s="140" t="e">
        <f>SUM(Q12:Q23)+#REF!+Q26+Q41+#REF!+Q39</f>
        <v>#REF!</v>
      </c>
      <c r="R44" s="140">
        <f>SUM(R12:R38)+SUM(R40:R43)</f>
        <v>18113000.610000003</v>
      </c>
      <c r="S44" s="140">
        <f>SUM(S12:S38)+SUM(S40:S43)</f>
        <v>13624292.35</v>
      </c>
      <c r="T44" s="86"/>
      <c r="U44" s="140">
        <f t="shared" ref="U44:AG44" si="8">SUM(U12:U38)+SUM(U40:U43)</f>
        <v>3764041.666666667</v>
      </c>
      <c r="V44" s="140">
        <f t="shared" si="8"/>
        <v>3764041.666666667</v>
      </c>
      <c r="W44" s="140">
        <f t="shared" si="8"/>
        <v>3764041.666666667</v>
      </c>
      <c r="X44" s="140">
        <f t="shared" si="8"/>
        <v>3705708.333333333</v>
      </c>
      <c r="Y44" s="140">
        <f t="shared" si="8"/>
        <v>3705708.333333333</v>
      </c>
      <c r="Z44" s="140">
        <f t="shared" si="8"/>
        <v>3705708.333333333</v>
      </c>
      <c r="AA44" s="140">
        <f t="shared" si="8"/>
        <v>3705708.333333333</v>
      </c>
      <c r="AB44" s="140">
        <f t="shared" si="8"/>
        <v>3705708.333333333</v>
      </c>
      <c r="AC44" s="140">
        <f t="shared" si="8"/>
        <v>3705708.333333333</v>
      </c>
      <c r="AD44" s="237">
        <f t="shared" si="8"/>
        <v>3705708.333333333</v>
      </c>
      <c r="AE44" s="140">
        <f t="shared" si="8"/>
        <v>3705708.333333333</v>
      </c>
      <c r="AF44" s="140">
        <f t="shared" si="8"/>
        <v>3705708.333333333</v>
      </c>
      <c r="AG44" s="140">
        <f t="shared" si="8"/>
        <v>45168500</v>
      </c>
      <c r="AH44" s="259">
        <f t="shared" si="2"/>
        <v>37232083.333333328</v>
      </c>
      <c r="AI44" s="50">
        <f t="shared" si="3"/>
        <v>3764041.6666666665</v>
      </c>
    </row>
    <row r="45" spans="1:36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V45" s="29"/>
      <c r="W45" s="29"/>
      <c r="X45" s="29"/>
      <c r="Y45" s="29"/>
      <c r="Z45" s="29"/>
      <c r="AA45" s="29"/>
      <c r="AB45" s="29"/>
      <c r="AC45" s="29"/>
      <c r="AD45" s="238"/>
      <c r="AE45" s="29"/>
      <c r="AF45" s="29"/>
      <c r="AG45" s="29"/>
      <c r="AH45" s="259">
        <f t="shared" si="2"/>
        <v>0</v>
      </c>
      <c r="AI45" s="50">
        <f t="shared" si="3"/>
        <v>0</v>
      </c>
    </row>
    <row r="46" spans="1:36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U46" s="21"/>
      <c r="V46" s="13"/>
      <c r="W46" s="13"/>
      <c r="X46" s="13"/>
      <c r="Y46" s="13"/>
      <c r="Z46" s="13"/>
      <c r="AA46" s="13"/>
      <c r="AB46" s="106"/>
      <c r="AC46" s="13"/>
      <c r="AD46" s="239"/>
      <c r="AE46" s="13"/>
      <c r="AF46" s="13"/>
      <c r="AG46" s="13"/>
      <c r="AH46" s="259">
        <f t="shared" si="2"/>
        <v>0</v>
      </c>
      <c r="AI46" s="50">
        <f t="shared" si="3"/>
        <v>0</v>
      </c>
      <c r="AJ46" s="50"/>
    </row>
    <row r="47" spans="1:36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22"/>
      <c r="V47" s="12"/>
      <c r="W47" s="12"/>
      <c r="X47" s="12"/>
      <c r="Y47" s="12"/>
      <c r="Z47" s="12"/>
      <c r="AA47" s="12"/>
      <c r="AB47" s="107"/>
      <c r="AC47" s="12"/>
      <c r="AD47" s="240"/>
      <c r="AE47" s="12"/>
      <c r="AF47" s="12"/>
      <c r="AG47" s="12"/>
      <c r="AH47" s="259">
        <f t="shared" si="2"/>
        <v>0</v>
      </c>
      <c r="AI47" s="50">
        <f t="shared" si="3"/>
        <v>0</v>
      </c>
    </row>
    <row r="48" spans="1:36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9">SUM(F48:Q48)</f>
        <v>535456.20500000007</v>
      </c>
      <c r="S48" s="17">
        <v>539740</v>
      </c>
      <c r="U48" s="24">
        <f>24547.87*2</f>
        <v>49095.74</v>
      </c>
      <c r="V48" s="24">
        <f t="shared" ref="V48:AF48" si="10">24547.87*2</f>
        <v>49095.74</v>
      </c>
      <c r="W48" s="24">
        <f t="shared" si="10"/>
        <v>49095.74</v>
      </c>
      <c r="X48" s="24">
        <f t="shared" si="10"/>
        <v>49095.74</v>
      </c>
      <c r="Y48" s="24">
        <f t="shared" si="10"/>
        <v>49095.74</v>
      </c>
      <c r="Z48" s="24">
        <f t="shared" si="10"/>
        <v>49095.74</v>
      </c>
      <c r="AA48" s="24">
        <f t="shared" si="10"/>
        <v>49095.74</v>
      </c>
      <c r="AB48" s="24">
        <f t="shared" si="10"/>
        <v>49095.74</v>
      </c>
      <c r="AC48" s="24">
        <f t="shared" si="10"/>
        <v>49095.74</v>
      </c>
      <c r="AD48" s="24">
        <f t="shared" si="10"/>
        <v>49095.74</v>
      </c>
      <c r="AE48" s="24">
        <f t="shared" si="10"/>
        <v>49095.74</v>
      </c>
      <c r="AF48" s="24">
        <f t="shared" si="10"/>
        <v>49095.74</v>
      </c>
      <c r="AG48" s="16">
        <f t="shared" ref="AG48:AG61" si="11">SUM(U48:AF48)</f>
        <v>589148.88</v>
      </c>
      <c r="AH48" s="259">
        <f t="shared" si="2"/>
        <v>490957.39999999997</v>
      </c>
      <c r="AI48" s="50">
        <f t="shared" si="3"/>
        <v>49095.74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9"/>
        <v>14985.6</v>
      </c>
      <c r="S49" s="17">
        <v>14986</v>
      </c>
      <c r="U49" s="24"/>
      <c r="V49" s="16"/>
      <c r="W49" s="16"/>
      <c r="X49" s="16"/>
      <c r="Y49" s="16"/>
      <c r="Z49" s="16"/>
      <c r="AA49" s="16"/>
      <c r="AB49" s="96"/>
      <c r="AC49" s="16"/>
      <c r="AD49" s="234"/>
      <c r="AE49" s="16"/>
      <c r="AF49" s="96">
        <v>22911.360000000001</v>
      </c>
      <c r="AG49" s="16">
        <f t="shared" si="11"/>
        <v>22911.360000000001</v>
      </c>
      <c r="AH49" s="259">
        <f t="shared" si="2"/>
        <v>0</v>
      </c>
      <c r="AI49" s="50">
        <f t="shared" si="3"/>
        <v>1909.28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9"/>
        <v>44978.85</v>
      </c>
      <c r="S50" s="17">
        <v>44979</v>
      </c>
      <c r="U50" s="24"/>
      <c r="V50" s="16"/>
      <c r="W50" s="16"/>
      <c r="X50" s="16"/>
      <c r="Y50" s="16"/>
      <c r="Z50" s="16"/>
      <c r="AA50" s="16"/>
      <c r="AB50" s="96"/>
      <c r="AC50" s="16"/>
      <c r="AD50" s="234"/>
      <c r="AE50" s="16"/>
      <c r="AF50" s="25">
        <v>49096</v>
      </c>
      <c r="AG50" s="16">
        <f t="shared" si="11"/>
        <v>49096</v>
      </c>
      <c r="AH50" s="259">
        <f t="shared" si="2"/>
        <v>0</v>
      </c>
      <c r="AI50" s="50">
        <f t="shared" si="3"/>
        <v>4091.3333333333335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9"/>
        <v>0</v>
      </c>
      <c r="S51" s="17"/>
      <c r="U51" s="24"/>
      <c r="V51" s="16"/>
      <c r="W51" s="16"/>
      <c r="X51" s="16"/>
      <c r="Y51" s="16"/>
      <c r="Z51" s="16"/>
      <c r="AA51" s="16"/>
      <c r="AB51" s="96"/>
      <c r="AC51" s="16"/>
      <c r="AD51" s="234"/>
      <c r="AE51" s="16"/>
      <c r="AF51" s="16"/>
      <c r="AG51" s="16">
        <f t="shared" si="11"/>
        <v>0</v>
      </c>
      <c r="AH51" s="259">
        <f t="shared" si="2"/>
        <v>0</v>
      </c>
      <c r="AI51" s="50">
        <f t="shared" si="3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9"/>
        <v>95868.332000000009</v>
      </c>
      <c r="S52" s="17">
        <v>93448</v>
      </c>
      <c r="U52" s="24">
        <v>3446</v>
      </c>
      <c r="V52" s="25">
        <v>14834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34">
        <v>14834</v>
      </c>
      <c r="AE52" s="24">
        <v>3446</v>
      </c>
      <c r="AF52" s="25">
        <v>14834</v>
      </c>
      <c r="AG52" s="16">
        <f t="shared" si="11"/>
        <v>109680</v>
      </c>
      <c r="AH52" s="259">
        <f t="shared" si="2"/>
        <v>91400</v>
      </c>
      <c r="AI52" s="50">
        <f t="shared" si="3"/>
        <v>9140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9"/>
        <v>2000</v>
      </c>
      <c r="S53" s="17">
        <v>15000</v>
      </c>
      <c r="U53" s="24">
        <f t="shared" ref="U53:AF53" si="12">+(F53*5%)+F53</f>
        <v>0</v>
      </c>
      <c r="V53" s="24">
        <f t="shared" si="12"/>
        <v>0</v>
      </c>
      <c r="W53" s="24">
        <f t="shared" si="12"/>
        <v>0</v>
      </c>
      <c r="X53" s="24">
        <f t="shared" si="12"/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1">
        <f t="shared" si="12"/>
        <v>0</v>
      </c>
      <c r="AE53" s="24">
        <f t="shared" si="12"/>
        <v>2100</v>
      </c>
      <c r="AF53" s="24">
        <f t="shared" si="12"/>
        <v>0</v>
      </c>
      <c r="AG53" s="16">
        <f t="shared" si="11"/>
        <v>2100</v>
      </c>
      <c r="AH53" s="259">
        <f t="shared" si="2"/>
        <v>0</v>
      </c>
      <c r="AI53" s="50">
        <f t="shared" si="3"/>
        <v>175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9"/>
        <v>5556.87</v>
      </c>
      <c r="S54" s="17">
        <v>5064</v>
      </c>
      <c r="U54" s="24">
        <f t="shared" ref="U54:U61" si="13">+(F54*5%)+F54</f>
        <v>0</v>
      </c>
      <c r="V54" s="24">
        <f t="shared" ref="V54:V61" si="14">+(G54*5%)+G54</f>
        <v>851.77050000000008</v>
      </c>
      <c r="W54" s="24">
        <f t="shared" ref="W54:W61" si="15">+(H54*5%)+H54</f>
        <v>351.51899999999995</v>
      </c>
      <c r="X54" s="24">
        <f t="shared" ref="X54:X61" si="16">+(I54*5%)+I54</f>
        <v>708.64499999999998</v>
      </c>
      <c r="Y54" s="24">
        <f t="shared" ref="Y54:Y61" si="17">+(J54*5%)+J54</f>
        <v>553.45500000000004</v>
      </c>
      <c r="Z54" s="24">
        <f t="shared" ref="Z54:Z61" si="18">+(K54*5%)+K54</f>
        <v>346.96199999999999</v>
      </c>
      <c r="AA54" s="24">
        <f t="shared" ref="AA54:AA61" si="19">+(L54*5%)+L54</f>
        <v>677.50199999999995</v>
      </c>
      <c r="AB54" s="24">
        <f t="shared" ref="AB54:AB61" si="20">+(M54*5%)+M54</f>
        <v>1070.0864999999999</v>
      </c>
      <c r="AC54" s="24">
        <f t="shared" ref="AC54:AC61" si="21">+(N54*5%)+N54</f>
        <v>0</v>
      </c>
      <c r="AD54" s="241">
        <f t="shared" ref="AD54:AD61" si="22">+(O54*5%)+O54</f>
        <v>415.76850000000002</v>
      </c>
      <c r="AE54" s="24">
        <f t="shared" ref="AE54:AE61" si="23">+(P54*5%)+P54</f>
        <v>405.94050000000004</v>
      </c>
      <c r="AF54" s="24">
        <f t="shared" ref="AF54:AF61" si="24">+(Q54*5%)+Q54</f>
        <v>453.06450000000001</v>
      </c>
      <c r="AG54" s="16">
        <f t="shared" si="11"/>
        <v>5834.7135000000007</v>
      </c>
      <c r="AH54" s="259">
        <f t="shared" si="2"/>
        <v>4975.7085000000006</v>
      </c>
      <c r="AI54" s="50">
        <f t="shared" si="3"/>
        <v>486.22612500000008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9"/>
        <v>2146.0333333333333</v>
      </c>
      <c r="S55" s="17">
        <v>1530</v>
      </c>
      <c r="U55" s="24">
        <f t="shared" si="13"/>
        <v>0</v>
      </c>
      <c r="V55" s="24">
        <f t="shared" si="14"/>
        <v>370.125</v>
      </c>
      <c r="W55" s="24">
        <f t="shared" si="15"/>
        <v>0</v>
      </c>
      <c r="X55" s="24">
        <f t="shared" si="16"/>
        <v>617.08500000000004</v>
      </c>
      <c r="Y55" s="24">
        <f t="shared" si="17"/>
        <v>874.125</v>
      </c>
      <c r="Z55" s="24">
        <f t="shared" si="18"/>
        <v>0</v>
      </c>
      <c r="AA55" s="24">
        <f t="shared" si="19"/>
        <v>0</v>
      </c>
      <c r="AB55" s="24">
        <f t="shared" si="20"/>
        <v>0</v>
      </c>
      <c r="AC55" s="24">
        <f t="shared" si="21"/>
        <v>0</v>
      </c>
      <c r="AD55" s="241">
        <f t="shared" si="22"/>
        <v>0</v>
      </c>
      <c r="AE55" s="24">
        <f t="shared" si="23"/>
        <v>0</v>
      </c>
      <c r="AF55" s="24">
        <f t="shared" si="24"/>
        <v>392</v>
      </c>
      <c r="AG55" s="16">
        <f t="shared" si="11"/>
        <v>2253.335</v>
      </c>
      <c r="AH55" s="259">
        <f t="shared" si="2"/>
        <v>1861.335</v>
      </c>
      <c r="AI55" s="50">
        <f t="shared" si="3"/>
        <v>187.77791666666667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9"/>
        <v>935.1</v>
      </c>
      <c r="S56" s="17"/>
      <c r="U56" s="24">
        <v>0</v>
      </c>
      <c r="V56" s="24">
        <f t="shared" si="14"/>
        <v>0</v>
      </c>
      <c r="W56" s="24">
        <f t="shared" si="15"/>
        <v>0</v>
      </c>
      <c r="X56" s="24">
        <f t="shared" si="16"/>
        <v>0</v>
      </c>
      <c r="Y56" s="24">
        <f t="shared" si="17"/>
        <v>0</v>
      </c>
      <c r="Z56" s="24">
        <f t="shared" si="18"/>
        <v>0</v>
      </c>
      <c r="AA56" s="24">
        <f t="shared" si="19"/>
        <v>0</v>
      </c>
      <c r="AB56" s="24">
        <f t="shared" si="20"/>
        <v>0</v>
      </c>
      <c r="AC56" s="24">
        <f t="shared" si="21"/>
        <v>0</v>
      </c>
      <c r="AD56" s="241">
        <f t="shared" si="22"/>
        <v>0</v>
      </c>
      <c r="AE56" s="24">
        <f t="shared" si="23"/>
        <v>0</v>
      </c>
      <c r="AF56" s="24">
        <f t="shared" si="24"/>
        <v>0</v>
      </c>
      <c r="AG56" s="16">
        <f t="shared" si="11"/>
        <v>0</v>
      </c>
      <c r="AH56" s="259">
        <f t="shared" si="2"/>
        <v>0</v>
      </c>
      <c r="AI56" s="50">
        <f t="shared" si="3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9"/>
        <v>0</v>
      </c>
      <c r="S57" s="17">
        <v>11878</v>
      </c>
      <c r="U57" s="24">
        <f t="shared" si="13"/>
        <v>0</v>
      </c>
      <c r="V57" s="24">
        <f t="shared" si="14"/>
        <v>0</v>
      </c>
      <c r="W57" s="24">
        <f t="shared" si="15"/>
        <v>0</v>
      </c>
      <c r="X57" s="24">
        <f t="shared" si="16"/>
        <v>0</v>
      </c>
      <c r="Y57" s="24">
        <f t="shared" si="17"/>
        <v>0</v>
      </c>
      <c r="Z57" s="24">
        <f t="shared" si="18"/>
        <v>0</v>
      </c>
      <c r="AA57" s="24">
        <f t="shared" si="19"/>
        <v>0</v>
      </c>
      <c r="AB57" s="24">
        <f t="shared" si="20"/>
        <v>0</v>
      </c>
      <c r="AC57" s="24">
        <f t="shared" si="21"/>
        <v>0</v>
      </c>
      <c r="AD57" s="241">
        <f t="shared" si="22"/>
        <v>0</v>
      </c>
      <c r="AE57" s="24">
        <f t="shared" si="23"/>
        <v>0</v>
      </c>
      <c r="AF57" s="24">
        <f t="shared" si="24"/>
        <v>0</v>
      </c>
      <c r="AG57" s="16">
        <f t="shared" si="11"/>
        <v>0</v>
      </c>
      <c r="AH57" s="259">
        <f t="shared" si="2"/>
        <v>0</v>
      </c>
      <c r="AI57" s="50">
        <f t="shared" si="3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9"/>
        <v>59982.119999999995</v>
      </c>
      <c r="S58" s="17">
        <v>33458</v>
      </c>
      <c r="T58" s="115" t="s">
        <v>113</v>
      </c>
      <c r="U58" s="24">
        <f t="shared" si="13"/>
        <v>0</v>
      </c>
      <c r="V58" s="24">
        <f t="shared" si="14"/>
        <v>0</v>
      </c>
      <c r="W58" s="24">
        <f t="shared" si="15"/>
        <v>3708.5054999999998</v>
      </c>
      <c r="X58" s="24">
        <f t="shared" si="16"/>
        <v>6491.8035</v>
      </c>
      <c r="Y58" s="24">
        <f t="shared" si="17"/>
        <v>0</v>
      </c>
      <c r="Z58" s="24">
        <f t="shared" si="18"/>
        <v>18950.5785</v>
      </c>
      <c r="AA58" s="24">
        <f t="shared" si="19"/>
        <v>6195</v>
      </c>
      <c r="AB58" s="24">
        <f t="shared" si="20"/>
        <v>13464.339</v>
      </c>
      <c r="AC58" s="24">
        <f t="shared" si="21"/>
        <v>5361.3</v>
      </c>
      <c r="AD58" s="241">
        <f t="shared" si="22"/>
        <v>666.75</v>
      </c>
      <c r="AE58" s="24">
        <f t="shared" si="23"/>
        <v>2983.8584999999998</v>
      </c>
      <c r="AF58" s="24">
        <f t="shared" si="24"/>
        <v>5159.0910000000003</v>
      </c>
      <c r="AG58" s="16">
        <f t="shared" si="11"/>
        <v>62981.226000000002</v>
      </c>
      <c r="AH58" s="259">
        <f t="shared" si="2"/>
        <v>54838.2765</v>
      </c>
      <c r="AI58" s="50">
        <f t="shared" si="3"/>
        <v>5248.4355000000005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9"/>
        <v>6192.29</v>
      </c>
      <c r="S59" s="17"/>
      <c r="T59" s="115" t="s">
        <v>114</v>
      </c>
      <c r="U59" s="24">
        <f t="shared" si="13"/>
        <v>0</v>
      </c>
      <c r="V59" s="24">
        <f t="shared" si="14"/>
        <v>6501.9044999999996</v>
      </c>
      <c r="W59" s="24">
        <f t="shared" si="15"/>
        <v>0</v>
      </c>
      <c r="X59" s="24">
        <f t="shared" si="16"/>
        <v>0</v>
      </c>
      <c r="Y59" s="24">
        <f t="shared" si="17"/>
        <v>0</v>
      </c>
      <c r="Z59" s="24">
        <f t="shared" si="18"/>
        <v>0</v>
      </c>
      <c r="AA59" s="24">
        <f t="shared" si="19"/>
        <v>0</v>
      </c>
      <c r="AB59" s="24">
        <f t="shared" si="20"/>
        <v>0</v>
      </c>
      <c r="AC59" s="24">
        <f t="shared" si="21"/>
        <v>0</v>
      </c>
      <c r="AD59" s="241">
        <f t="shared" si="22"/>
        <v>0</v>
      </c>
      <c r="AE59" s="24">
        <f t="shared" si="23"/>
        <v>0</v>
      </c>
      <c r="AF59" s="24">
        <f t="shared" si="24"/>
        <v>0</v>
      </c>
      <c r="AG59" s="16">
        <f t="shared" si="11"/>
        <v>6501.9044999999996</v>
      </c>
      <c r="AH59" s="259">
        <f t="shared" si="2"/>
        <v>6501.9044999999996</v>
      </c>
      <c r="AI59" s="50">
        <f t="shared" si="3"/>
        <v>541.82537500000001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9"/>
        <v>0</v>
      </c>
      <c r="S60" s="17">
        <v>801</v>
      </c>
      <c r="U60" s="24">
        <f t="shared" si="13"/>
        <v>0</v>
      </c>
      <c r="V60" s="24">
        <f t="shared" si="14"/>
        <v>0</v>
      </c>
      <c r="W60" s="24">
        <f t="shared" si="15"/>
        <v>0</v>
      </c>
      <c r="X60" s="24">
        <f t="shared" si="16"/>
        <v>0</v>
      </c>
      <c r="Y60" s="24">
        <f t="shared" si="17"/>
        <v>0</v>
      </c>
      <c r="Z60" s="24">
        <f t="shared" si="18"/>
        <v>0</v>
      </c>
      <c r="AA60" s="24">
        <f t="shared" si="19"/>
        <v>0</v>
      </c>
      <c r="AB60" s="24">
        <f t="shared" si="20"/>
        <v>0</v>
      </c>
      <c r="AC60" s="24">
        <f t="shared" si="21"/>
        <v>0</v>
      </c>
      <c r="AD60" s="241">
        <f t="shared" si="22"/>
        <v>0</v>
      </c>
      <c r="AE60" s="24">
        <f t="shared" si="23"/>
        <v>0</v>
      </c>
      <c r="AF60" s="24">
        <f t="shared" si="24"/>
        <v>0</v>
      </c>
      <c r="AG60" s="16">
        <f t="shared" si="11"/>
        <v>0</v>
      </c>
      <c r="AH60" s="259">
        <f t="shared" si="2"/>
        <v>0</v>
      </c>
      <c r="AI60" s="50">
        <f t="shared" si="3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9"/>
        <v>0</v>
      </c>
      <c r="S61" s="20"/>
      <c r="U61" s="24">
        <f t="shared" si="13"/>
        <v>0</v>
      </c>
      <c r="V61" s="24">
        <f t="shared" si="14"/>
        <v>0</v>
      </c>
      <c r="W61" s="24">
        <f t="shared" si="15"/>
        <v>0</v>
      </c>
      <c r="X61" s="24">
        <f t="shared" si="16"/>
        <v>0</v>
      </c>
      <c r="Y61" s="24">
        <f t="shared" si="17"/>
        <v>0</v>
      </c>
      <c r="Z61" s="24">
        <f t="shared" si="18"/>
        <v>0</v>
      </c>
      <c r="AA61" s="24">
        <f t="shared" si="19"/>
        <v>0</v>
      </c>
      <c r="AB61" s="24">
        <f t="shared" si="20"/>
        <v>0</v>
      </c>
      <c r="AC61" s="24">
        <f t="shared" si="21"/>
        <v>0</v>
      </c>
      <c r="AD61" s="241">
        <f t="shared" si="22"/>
        <v>0</v>
      </c>
      <c r="AE61" s="24">
        <f t="shared" si="23"/>
        <v>0</v>
      </c>
      <c r="AF61" s="24">
        <f t="shared" si="24"/>
        <v>0</v>
      </c>
      <c r="AG61" s="16">
        <f t="shared" si="11"/>
        <v>0</v>
      </c>
      <c r="AH61" s="259">
        <f t="shared" si="2"/>
        <v>0</v>
      </c>
      <c r="AI61" s="50">
        <f t="shared" si="3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25">SUM(K48:K61)</f>
        <v>66399.86</v>
      </c>
      <c r="L62" s="140">
        <f t="shared" si="25"/>
        <v>64313.049999999996</v>
      </c>
      <c r="M62" s="140">
        <f t="shared" si="25"/>
        <v>61518.46</v>
      </c>
      <c r="N62" s="140">
        <f t="shared" si="25"/>
        <v>63035.57</v>
      </c>
      <c r="O62" s="140">
        <f t="shared" si="25"/>
        <v>48584.93</v>
      </c>
      <c r="P62" s="140">
        <f t="shared" si="25"/>
        <v>62784.42</v>
      </c>
      <c r="Q62" s="140">
        <f t="shared" si="25"/>
        <v>119320.55033333333</v>
      </c>
      <c r="R62" s="140">
        <f t="shared" si="25"/>
        <v>768101.40033333341</v>
      </c>
      <c r="S62" s="140">
        <f t="shared" si="25"/>
        <v>760884</v>
      </c>
      <c r="U62" s="140">
        <f>SUM(U48:U58)</f>
        <v>52541.74</v>
      </c>
      <c r="V62" s="140">
        <f>SUM(V48:V61)</f>
        <v>71653.539999999994</v>
      </c>
      <c r="W62" s="140">
        <f>SUM(W48:W61)</f>
        <v>56601.764499999997</v>
      </c>
      <c r="X62" s="140">
        <f>SUM(X48:X61)</f>
        <v>71747.273499999996</v>
      </c>
      <c r="Y62" s="140">
        <f>SUM(Y48:Y61)</f>
        <v>53969.32</v>
      </c>
      <c r="Z62" s="140">
        <f t="shared" ref="Z62:AG62" si="26">SUM(Z48:Z61)</f>
        <v>83227.280499999993</v>
      </c>
      <c r="AA62" s="140">
        <f t="shared" si="26"/>
        <v>59414.241999999998</v>
      </c>
      <c r="AB62" s="140">
        <f t="shared" si="26"/>
        <v>78464.165500000003</v>
      </c>
      <c r="AC62" s="140">
        <f t="shared" si="26"/>
        <v>57903.040000000001</v>
      </c>
      <c r="AD62" s="237">
        <f t="shared" si="26"/>
        <v>65012.258499999996</v>
      </c>
      <c r="AE62" s="140">
        <f t="shared" si="26"/>
        <v>58031.538999999997</v>
      </c>
      <c r="AF62" s="140">
        <f t="shared" si="26"/>
        <v>141941.25550000003</v>
      </c>
      <c r="AG62" s="140">
        <f t="shared" si="26"/>
        <v>850507.41899999988</v>
      </c>
      <c r="AH62" s="259">
        <f t="shared" si="2"/>
        <v>650534.62450000003</v>
      </c>
      <c r="AI62" s="50">
        <f t="shared" si="3"/>
        <v>70875.618249999985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26"/>
      <c r="V63" s="26"/>
      <c r="W63" s="26"/>
      <c r="X63" s="26"/>
      <c r="Y63" s="26"/>
      <c r="Z63" s="26"/>
      <c r="AA63" s="26"/>
      <c r="AB63" s="26"/>
      <c r="AC63" s="26"/>
      <c r="AD63" s="242"/>
      <c r="AE63" s="26"/>
      <c r="AF63" s="26"/>
      <c r="AG63" s="26"/>
      <c r="AH63" s="259">
        <f t="shared" si="2"/>
        <v>0</v>
      </c>
      <c r="AI63" s="50">
        <f t="shared" si="3"/>
        <v>0</v>
      </c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21"/>
      <c r="V64" s="21"/>
      <c r="W64" s="21"/>
      <c r="X64" s="21"/>
      <c r="Y64" s="21"/>
      <c r="Z64" s="21"/>
      <c r="AA64" s="21"/>
      <c r="AB64" s="21"/>
      <c r="AC64" s="21"/>
      <c r="AD64" s="243"/>
      <c r="AE64" s="21"/>
      <c r="AF64" s="21"/>
      <c r="AG64" s="21"/>
      <c r="AH64" s="259">
        <f t="shared" si="2"/>
        <v>0</v>
      </c>
      <c r="AI64" s="50">
        <f t="shared" si="3"/>
        <v>0</v>
      </c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27"/>
      <c r="V65" s="28"/>
      <c r="W65" s="28"/>
      <c r="X65" s="28"/>
      <c r="Y65" s="28"/>
      <c r="Z65" s="28"/>
      <c r="AA65" s="28"/>
      <c r="AB65" s="28"/>
      <c r="AC65" s="28"/>
      <c r="AD65" s="244"/>
      <c r="AE65" s="28"/>
      <c r="AF65" s="28"/>
      <c r="AG65" s="12"/>
      <c r="AH65" s="259">
        <f t="shared" si="2"/>
        <v>0</v>
      </c>
      <c r="AI65" s="50">
        <f t="shared" si="3"/>
        <v>0</v>
      </c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27">SUM(F66:Q66)</f>
        <v>4960818.1919999998</v>
      </c>
      <c r="S66" s="17">
        <v>4907881.7040000008</v>
      </c>
      <c r="T66" s="115" t="s">
        <v>110</v>
      </c>
      <c r="U66" s="24">
        <f>190672+234455</f>
        <v>425127</v>
      </c>
      <c r="V66" s="24">
        <f>190672+234455</f>
        <v>425127</v>
      </c>
      <c r="W66" s="24">
        <f>238340+234455</f>
        <v>472795</v>
      </c>
      <c r="X66" s="24">
        <f>190672+234455</f>
        <v>425127</v>
      </c>
      <c r="Y66" s="24">
        <f>190672+234455</f>
        <v>425127</v>
      </c>
      <c r="Z66" s="24">
        <f>238340+234455</f>
        <v>472795</v>
      </c>
      <c r="AA66" s="24">
        <f>190672+234455</f>
        <v>425127</v>
      </c>
      <c r="AB66" s="24">
        <f>190672+234455</f>
        <v>425127</v>
      </c>
      <c r="AC66" s="24">
        <f>238340+234455</f>
        <v>472795</v>
      </c>
      <c r="AD66" s="241">
        <f>190672+234455</f>
        <v>425127</v>
      </c>
      <c r="AE66" s="24">
        <f>190672+234455</f>
        <v>425127</v>
      </c>
      <c r="AF66" s="24">
        <f>238340+234455</f>
        <v>472795</v>
      </c>
      <c r="AG66" s="16">
        <f t="shared" ref="AG66:AG83" si="28">SUM(U66:AF66)</f>
        <v>5292196</v>
      </c>
      <c r="AH66" s="259">
        <f t="shared" si="2"/>
        <v>4394274</v>
      </c>
      <c r="AI66" s="50">
        <f t="shared" si="3"/>
        <v>441016.33333333331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27"/>
        <v>312135.80499999993</v>
      </c>
      <c r="S67" s="17">
        <v>315014.69999999995</v>
      </c>
      <c r="U67" s="24">
        <f>(9800+2500)*2</f>
        <v>24600</v>
      </c>
      <c r="V67" s="24">
        <f t="shared" ref="V67:AF67" si="29">(9800+2500)*2</f>
        <v>24600</v>
      </c>
      <c r="W67" s="24">
        <f t="shared" si="29"/>
        <v>24600</v>
      </c>
      <c r="X67" s="24">
        <f t="shared" si="29"/>
        <v>24600</v>
      </c>
      <c r="Y67" s="24">
        <f>((9800+2500)*2)+9840</f>
        <v>34440</v>
      </c>
      <c r="Z67" s="24">
        <f t="shared" si="29"/>
        <v>24600</v>
      </c>
      <c r="AA67" s="24">
        <f t="shared" si="29"/>
        <v>24600</v>
      </c>
      <c r="AB67" s="24">
        <f t="shared" si="29"/>
        <v>24600</v>
      </c>
      <c r="AC67" s="24">
        <f t="shared" si="29"/>
        <v>24600</v>
      </c>
      <c r="AD67" s="241">
        <f t="shared" si="29"/>
        <v>24600</v>
      </c>
      <c r="AE67" s="24">
        <f t="shared" si="29"/>
        <v>24600</v>
      </c>
      <c r="AF67" s="24">
        <f t="shared" si="29"/>
        <v>24600</v>
      </c>
      <c r="AG67" s="16">
        <f t="shared" si="28"/>
        <v>305040</v>
      </c>
      <c r="AH67" s="259">
        <f t="shared" si="2"/>
        <v>255840</v>
      </c>
      <c r="AI67" s="50">
        <f t="shared" si="3"/>
        <v>25420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27"/>
        <v>195451.6635</v>
      </c>
      <c r="S68" s="17">
        <v>145951.96699999998</v>
      </c>
      <c r="T68" s="115" t="s">
        <v>111</v>
      </c>
      <c r="U68" s="24">
        <v>0</v>
      </c>
      <c r="V68" s="16">
        <v>3348.9709000000003</v>
      </c>
      <c r="W68" s="16">
        <v>25029.71675</v>
      </c>
      <c r="X68" s="16">
        <v>4986.2465000000002</v>
      </c>
      <c r="Y68" s="16">
        <v>9747.5142500000002</v>
      </c>
      <c r="Z68" s="16">
        <v>19239.13825</v>
      </c>
      <c r="AA68" s="16">
        <v>39916.178199999995</v>
      </c>
      <c r="AB68" s="96">
        <v>53000.499200000006</v>
      </c>
      <c r="AC68" s="16">
        <v>17284.592499999999</v>
      </c>
      <c r="AD68" s="234">
        <v>23529.06365</v>
      </c>
      <c r="AE68" s="16">
        <v>2143.3379999999997</v>
      </c>
      <c r="AF68" s="25">
        <v>7976.2467925000019</v>
      </c>
      <c r="AG68" s="16">
        <v>206201.50499250001</v>
      </c>
      <c r="AH68" s="259">
        <f t="shared" si="2"/>
        <v>196081.92019999999</v>
      </c>
      <c r="AI68" s="50">
        <f t="shared" si="3"/>
        <v>17183.458749375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27"/>
        <v>360332.39800000004</v>
      </c>
      <c r="S69" s="17">
        <v>358121.35800000007</v>
      </c>
      <c r="U69" s="24"/>
      <c r="V69" s="16"/>
      <c r="W69" s="16"/>
      <c r="X69" s="16"/>
      <c r="Y69" s="16"/>
      <c r="Z69" s="16"/>
      <c r="AA69" s="16"/>
      <c r="AB69" s="96"/>
      <c r="AC69" s="16"/>
      <c r="AD69" s="234"/>
      <c r="AE69" s="16"/>
      <c r="AF69" s="98">
        <v>438744</v>
      </c>
      <c r="AG69" s="16">
        <f t="shared" si="28"/>
        <v>438744</v>
      </c>
      <c r="AH69" s="259">
        <f t="shared" si="2"/>
        <v>0</v>
      </c>
      <c r="AI69" s="50">
        <f t="shared" si="3"/>
        <v>36562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27"/>
        <v>13488</v>
      </c>
      <c r="S70" s="17">
        <v>17488</v>
      </c>
      <c r="U70" s="24">
        <f>+(F70*5%)+F70</f>
        <v>0</v>
      </c>
      <c r="V70" s="24">
        <f t="shared" ref="V70:AF70" si="30">+(G70*5%)+G70</f>
        <v>0</v>
      </c>
      <c r="W70" s="24">
        <f t="shared" si="30"/>
        <v>0</v>
      </c>
      <c r="X70" s="24">
        <f t="shared" si="30"/>
        <v>0</v>
      </c>
      <c r="Y70" s="24">
        <f t="shared" si="30"/>
        <v>0</v>
      </c>
      <c r="Z70" s="24">
        <f t="shared" si="30"/>
        <v>0</v>
      </c>
      <c r="AA70" s="24">
        <f t="shared" si="30"/>
        <v>1050</v>
      </c>
      <c r="AB70" s="24">
        <f t="shared" si="30"/>
        <v>0</v>
      </c>
      <c r="AC70" s="24">
        <f t="shared" si="30"/>
        <v>0</v>
      </c>
      <c r="AD70" s="241">
        <f t="shared" si="30"/>
        <v>0</v>
      </c>
      <c r="AE70" s="24">
        <f t="shared" si="30"/>
        <v>0</v>
      </c>
      <c r="AF70" s="24">
        <f t="shared" si="30"/>
        <v>13112.4</v>
      </c>
      <c r="AG70" s="16">
        <f t="shared" si="28"/>
        <v>14162.4</v>
      </c>
      <c r="AH70" s="259">
        <f t="shared" si="2"/>
        <v>1050</v>
      </c>
      <c r="AI70" s="50">
        <f t="shared" si="3"/>
        <v>1180.2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27"/>
        <v>0</v>
      </c>
      <c r="S71" s="17">
        <v>4929</v>
      </c>
      <c r="U71" s="24"/>
      <c r="V71" s="16"/>
      <c r="W71" s="16"/>
      <c r="X71" s="16"/>
      <c r="Y71" s="16"/>
      <c r="Z71" s="16"/>
      <c r="AA71" s="16"/>
      <c r="AB71" s="96"/>
      <c r="AC71" s="16"/>
      <c r="AD71" s="234"/>
      <c r="AE71" s="16"/>
      <c r="AF71" s="16"/>
      <c r="AG71" s="16">
        <f t="shared" si="28"/>
        <v>0</v>
      </c>
      <c r="AH71" s="259">
        <f t="shared" si="2"/>
        <v>0</v>
      </c>
      <c r="AI71" s="50">
        <f t="shared" si="3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27"/>
        <v>1005402.76</v>
      </c>
      <c r="S72" s="17">
        <v>942749.25150000013</v>
      </c>
      <c r="T72" s="115" t="s">
        <v>112</v>
      </c>
      <c r="U72" s="24">
        <v>42642</v>
      </c>
      <c r="V72" s="16">
        <v>149499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234">
        <v>149499</v>
      </c>
      <c r="AE72" s="24">
        <v>42642</v>
      </c>
      <c r="AF72" s="16">
        <v>149499</v>
      </c>
      <c r="AG72" s="16">
        <f t="shared" si="28"/>
        <v>1152846</v>
      </c>
      <c r="AH72" s="259">
        <f t="shared" si="2"/>
        <v>960705</v>
      </c>
      <c r="AI72" s="50">
        <f t="shared" si="3"/>
        <v>96070.5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27"/>
        <v>10715</v>
      </c>
      <c r="S73" s="17">
        <v>7120</v>
      </c>
      <c r="U73" s="24">
        <f t="shared" ref="U73:AF73" si="31">+(F73*5%)+F73</f>
        <v>7698.6</v>
      </c>
      <c r="V73" s="24">
        <f t="shared" si="31"/>
        <v>3552.15</v>
      </c>
      <c r="W73" s="24">
        <f t="shared" si="31"/>
        <v>0</v>
      </c>
      <c r="X73" s="24">
        <f t="shared" si="31"/>
        <v>0</v>
      </c>
      <c r="Y73" s="24">
        <f t="shared" si="31"/>
        <v>0</v>
      </c>
      <c r="Z73" s="24">
        <f t="shared" si="31"/>
        <v>0</v>
      </c>
      <c r="AA73" s="24">
        <f t="shared" si="31"/>
        <v>0</v>
      </c>
      <c r="AB73" s="24">
        <f t="shared" si="31"/>
        <v>0</v>
      </c>
      <c r="AC73" s="24">
        <f t="shared" si="31"/>
        <v>0</v>
      </c>
      <c r="AD73" s="241">
        <f t="shared" si="31"/>
        <v>0</v>
      </c>
      <c r="AE73" s="24">
        <f t="shared" si="31"/>
        <v>0</v>
      </c>
      <c r="AF73" s="24">
        <f t="shared" si="31"/>
        <v>0</v>
      </c>
      <c r="AG73" s="16">
        <f t="shared" si="28"/>
        <v>11250.75</v>
      </c>
      <c r="AH73" s="259">
        <f t="shared" si="2"/>
        <v>11250.75</v>
      </c>
      <c r="AI73" s="50">
        <f t="shared" si="3"/>
        <v>937.5625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27"/>
        <v>0</v>
      </c>
      <c r="S74" s="17">
        <v>0</v>
      </c>
      <c r="U74" s="24">
        <f t="shared" ref="U74:U108" si="32">+(F74*5%)+F74</f>
        <v>0</v>
      </c>
      <c r="V74" s="24">
        <f t="shared" ref="V74:V108" si="33">+(G74*5%)+G74</f>
        <v>0</v>
      </c>
      <c r="W74" s="24">
        <f t="shared" ref="W74:W108" si="34">+(H74*5%)+H74</f>
        <v>0</v>
      </c>
      <c r="X74" s="24">
        <f t="shared" ref="X74:X108" si="35">+(I74*5%)+I74</f>
        <v>0</v>
      </c>
      <c r="Y74" s="24">
        <f t="shared" ref="Y74:Y108" si="36">+(J74*5%)+J74</f>
        <v>0</v>
      </c>
      <c r="Z74" s="24">
        <f t="shared" ref="Z74:Z108" si="37">+(K74*5%)+K74</f>
        <v>0</v>
      </c>
      <c r="AA74" s="24">
        <f t="shared" ref="AA74:AA108" si="38">+(L74*5%)+L74</f>
        <v>0</v>
      </c>
      <c r="AB74" s="24">
        <f t="shared" ref="AB74:AB108" si="39">+(M74*5%)+M74</f>
        <v>0</v>
      </c>
      <c r="AC74" s="24">
        <f t="shared" ref="AC74:AC108" si="40">+(N74*5%)+N74</f>
        <v>0</v>
      </c>
      <c r="AD74" s="241">
        <f t="shared" ref="AD74:AD108" si="41">+(O74*5%)+O74</f>
        <v>0</v>
      </c>
      <c r="AE74" s="24">
        <f t="shared" ref="AE74:AE108" si="42">+(P74*5%)+P74</f>
        <v>0</v>
      </c>
      <c r="AF74" s="24">
        <f t="shared" ref="AF74:AF108" si="43">+(Q74*5%)+Q74</f>
        <v>0</v>
      </c>
      <c r="AG74" s="16">
        <f t="shared" si="28"/>
        <v>0</v>
      </c>
      <c r="AH74" s="259">
        <f t="shared" si="2"/>
        <v>0</v>
      </c>
      <c r="AI74" s="50">
        <f t="shared" si="3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27"/>
        <v>97494.253333333341</v>
      </c>
      <c r="S75" s="17">
        <v>100850.78333333334</v>
      </c>
      <c r="U75" s="24">
        <f t="shared" si="32"/>
        <v>0</v>
      </c>
      <c r="V75" s="24">
        <f t="shared" si="33"/>
        <v>8951.1450000000004</v>
      </c>
      <c r="W75" s="24">
        <f t="shared" si="34"/>
        <v>17435.817000000003</v>
      </c>
      <c r="X75" s="24">
        <f t="shared" si="35"/>
        <v>9293.2559999999994</v>
      </c>
      <c r="Y75" s="24">
        <f t="shared" si="36"/>
        <v>459.34350000000001</v>
      </c>
      <c r="Z75" s="24">
        <f t="shared" si="37"/>
        <v>8941.6844999999994</v>
      </c>
      <c r="AA75" s="24">
        <f t="shared" si="38"/>
        <v>18022.6515</v>
      </c>
      <c r="AB75" s="24">
        <f t="shared" si="39"/>
        <v>893.40300000000002</v>
      </c>
      <c r="AC75" s="24">
        <f t="shared" si="40"/>
        <v>16617.3315</v>
      </c>
      <c r="AD75" s="241">
        <f t="shared" si="41"/>
        <v>9427.1309999999994</v>
      </c>
      <c r="AE75" s="24">
        <f t="shared" si="42"/>
        <v>535.2165</v>
      </c>
      <c r="AF75" s="24">
        <f t="shared" si="43"/>
        <v>11791.986499999999</v>
      </c>
      <c r="AG75" s="16">
        <f t="shared" si="28"/>
        <v>102368.96599999999</v>
      </c>
      <c r="AH75" s="259">
        <f t="shared" si="2"/>
        <v>90041.762999999992</v>
      </c>
      <c r="AI75" s="50">
        <f t="shared" ref="AI75:AI138" si="44">+AG75/12</f>
        <v>8530.7471666666661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27"/>
        <v>1297479.0333333334</v>
      </c>
      <c r="S76" s="17">
        <v>1377403</v>
      </c>
      <c r="U76" s="24">
        <f t="shared" si="32"/>
        <v>76568.782500000001</v>
      </c>
      <c r="V76" s="24">
        <f t="shared" si="33"/>
        <v>71497.964999999997</v>
      </c>
      <c r="W76" s="24">
        <f t="shared" si="34"/>
        <v>67479.027000000002</v>
      </c>
      <c r="X76" s="24">
        <f t="shared" si="35"/>
        <v>88024.671000000002</v>
      </c>
      <c r="Y76" s="24">
        <f t="shared" si="36"/>
        <v>123018.4725</v>
      </c>
      <c r="Z76" s="24">
        <f t="shared" si="37"/>
        <v>129004.6275</v>
      </c>
      <c r="AA76" s="24">
        <f t="shared" si="38"/>
        <v>146296.8885</v>
      </c>
      <c r="AB76" s="24">
        <f t="shared" si="39"/>
        <v>141657.93600000002</v>
      </c>
      <c r="AC76" s="24">
        <f t="shared" si="40"/>
        <v>150686.0355</v>
      </c>
      <c r="AD76" s="241">
        <f t="shared" si="41"/>
        <v>142433.592</v>
      </c>
      <c r="AE76" s="24">
        <f t="shared" si="42"/>
        <v>105162.22500000001</v>
      </c>
      <c r="AF76" s="24">
        <f t="shared" si="43"/>
        <v>120522.7625</v>
      </c>
      <c r="AG76" s="16">
        <f t="shared" si="28"/>
        <v>1362352.9850000001</v>
      </c>
      <c r="AH76" s="259">
        <f t="shared" si="2"/>
        <v>1136667.9975000001</v>
      </c>
      <c r="AI76" s="50">
        <f t="shared" si="44"/>
        <v>113529.41541666667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27"/>
        <v>46874.233333333337</v>
      </c>
      <c r="S77" s="17">
        <v>42623.16333333333</v>
      </c>
      <c r="U77" s="24">
        <f t="shared" si="32"/>
        <v>312.80550000000005</v>
      </c>
      <c r="V77" s="24">
        <f t="shared" si="33"/>
        <v>5769.3615</v>
      </c>
      <c r="W77" s="24">
        <f t="shared" si="34"/>
        <v>3394.7655</v>
      </c>
      <c r="X77" s="24">
        <f t="shared" si="35"/>
        <v>4631.1615000000002</v>
      </c>
      <c r="Y77" s="24">
        <f t="shared" si="36"/>
        <v>0</v>
      </c>
      <c r="Z77" s="24">
        <f t="shared" si="37"/>
        <v>5685.2145</v>
      </c>
      <c r="AA77" s="24">
        <f t="shared" si="38"/>
        <v>6582.5550000000003</v>
      </c>
      <c r="AB77" s="24">
        <f t="shared" si="39"/>
        <v>0</v>
      </c>
      <c r="AC77" s="24">
        <f t="shared" si="40"/>
        <v>8753.871000000001</v>
      </c>
      <c r="AD77" s="241">
        <f t="shared" si="41"/>
        <v>7721.4795000000004</v>
      </c>
      <c r="AE77" s="24">
        <f t="shared" si="42"/>
        <v>1155</v>
      </c>
      <c r="AF77" s="24">
        <f t="shared" si="43"/>
        <v>5211.7309999999998</v>
      </c>
      <c r="AG77" s="16">
        <f t="shared" si="28"/>
        <v>49217.945</v>
      </c>
      <c r="AH77" s="259">
        <f t="shared" ref="AH77:AH140" si="45">+U77+V77+W77+X77+Y77+Z77+AA77+AB77+AC77+AD77</f>
        <v>42851.214</v>
      </c>
      <c r="AI77" s="50">
        <f t="shared" si="44"/>
        <v>4101.4954166666666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27"/>
        <v>36295.170000000006</v>
      </c>
      <c r="S78" s="17">
        <v>27201.460000000003</v>
      </c>
      <c r="U78" s="24">
        <f t="shared" si="32"/>
        <v>840.08400000000006</v>
      </c>
      <c r="V78" s="24">
        <f t="shared" si="33"/>
        <v>1680.8295000000001</v>
      </c>
      <c r="W78" s="24">
        <f t="shared" si="34"/>
        <v>4988.7390000000005</v>
      </c>
      <c r="X78" s="24">
        <f t="shared" si="35"/>
        <v>4332.9615000000003</v>
      </c>
      <c r="Y78" s="24">
        <f t="shared" si="36"/>
        <v>1630.2615000000001</v>
      </c>
      <c r="Z78" s="24">
        <f t="shared" si="37"/>
        <v>3689.07</v>
      </c>
      <c r="AA78" s="24">
        <f t="shared" si="38"/>
        <v>3460.107</v>
      </c>
      <c r="AB78" s="24">
        <f t="shared" si="39"/>
        <v>2205.5879999999997</v>
      </c>
      <c r="AC78" s="24">
        <f t="shared" si="40"/>
        <v>3576.2159999999999</v>
      </c>
      <c r="AD78" s="241">
        <f t="shared" si="41"/>
        <v>1981.4654999999998</v>
      </c>
      <c r="AE78" s="24">
        <f t="shared" si="42"/>
        <v>5828.0144999999993</v>
      </c>
      <c r="AF78" s="24">
        <f t="shared" si="43"/>
        <v>3896.5919999999996</v>
      </c>
      <c r="AG78" s="16">
        <f t="shared" si="28"/>
        <v>38109.928499999995</v>
      </c>
      <c r="AH78" s="259">
        <f t="shared" si="45"/>
        <v>28385.322</v>
      </c>
      <c r="AI78" s="50">
        <f t="shared" si="44"/>
        <v>3175.8273749999994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27"/>
        <v>4545.82</v>
      </c>
      <c r="S79" s="17">
        <v>0</v>
      </c>
      <c r="U79" s="24">
        <f t="shared" si="32"/>
        <v>0</v>
      </c>
      <c r="V79" s="24">
        <f t="shared" si="33"/>
        <v>4773.1109999999999</v>
      </c>
      <c r="W79" s="24">
        <f t="shared" si="34"/>
        <v>0</v>
      </c>
      <c r="X79" s="24">
        <f t="shared" si="35"/>
        <v>0</v>
      </c>
      <c r="Y79" s="24">
        <f t="shared" si="36"/>
        <v>0</v>
      </c>
      <c r="Z79" s="24">
        <f t="shared" si="37"/>
        <v>0</v>
      </c>
      <c r="AA79" s="24">
        <f t="shared" si="38"/>
        <v>0</v>
      </c>
      <c r="AB79" s="24">
        <f t="shared" si="39"/>
        <v>0</v>
      </c>
      <c r="AC79" s="24">
        <f t="shared" si="40"/>
        <v>0</v>
      </c>
      <c r="AD79" s="241">
        <f t="shared" si="41"/>
        <v>0</v>
      </c>
      <c r="AE79" s="24">
        <f t="shared" si="42"/>
        <v>0</v>
      </c>
      <c r="AF79" s="24">
        <f t="shared" si="43"/>
        <v>0</v>
      </c>
      <c r="AG79" s="16">
        <f t="shared" si="28"/>
        <v>4773.1109999999999</v>
      </c>
      <c r="AH79" s="259">
        <f t="shared" si="45"/>
        <v>4773.1109999999999</v>
      </c>
      <c r="AI79" s="50">
        <f t="shared" si="44"/>
        <v>397.75925000000001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27"/>
        <v>6202.88</v>
      </c>
      <c r="S80" s="17">
        <v>32743.050000000003</v>
      </c>
      <c r="U80" s="24">
        <f t="shared" si="32"/>
        <v>0</v>
      </c>
      <c r="V80" s="24">
        <f t="shared" si="33"/>
        <v>0</v>
      </c>
      <c r="W80" s="24">
        <f t="shared" si="34"/>
        <v>0</v>
      </c>
      <c r="X80" s="24">
        <f t="shared" si="35"/>
        <v>0</v>
      </c>
      <c r="Y80" s="24">
        <f t="shared" si="36"/>
        <v>0</v>
      </c>
      <c r="Z80" s="24">
        <f t="shared" si="37"/>
        <v>0</v>
      </c>
      <c r="AA80" s="24">
        <f t="shared" si="38"/>
        <v>97.44</v>
      </c>
      <c r="AB80" s="24">
        <f t="shared" si="39"/>
        <v>4893.6194999999998</v>
      </c>
      <c r="AC80" s="24">
        <f t="shared" si="40"/>
        <v>0</v>
      </c>
      <c r="AD80" s="241">
        <f t="shared" si="41"/>
        <v>0</v>
      </c>
      <c r="AE80" s="24">
        <f t="shared" si="42"/>
        <v>0</v>
      </c>
      <c r="AF80" s="24">
        <f t="shared" si="43"/>
        <v>1521.9645</v>
      </c>
      <c r="AG80" s="16">
        <f t="shared" si="28"/>
        <v>6513.0239999999994</v>
      </c>
      <c r="AH80" s="259">
        <f t="shared" si="45"/>
        <v>4991.0594999999994</v>
      </c>
      <c r="AI80" s="50">
        <f t="shared" si="44"/>
        <v>542.75199999999995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27"/>
        <v>45028.753333333334</v>
      </c>
      <c r="S81" s="17">
        <v>160000</v>
      </c>
      <c r="U81" s="24">
        <f t="shared" si="32"/>
        <v>1759.905</v>
      </c>
      <c r="V81" s="24">
        <f t="shared" si="33"/>
        <v>1007.2125</v>
      </c>
      <c r="W81" s="24">
        <f t="shared" si="34"/>
        <v>535.71</v>
      </c>
      <c r="X81" s="24">
        <f t="shared" si="35"/>
        <v>665.26949999999999</v>
      </c>
      <c r="Y81" s="24">
        <f t="shared" si="36"/>
        <v>490.56</v>
      </c>
      <c r="Z81" s="24">
        <f t="shared" si="37"/>
        <v>1475.3025</v>
      </c>
      <c r="AA81" s="24">
        <f t="shared" si="38"/>
        <v>6705.4050000000007</v>
      </c>
      <c r="AB81" s="24">
        <f t="shared" si="39"/>
        <v>15615.568499999999</v>
      </c>
      <c r="AC81" s="24">
        <f t="shared" si="40"/>
        <v>1264.0740000000001</v>
      </c>
      <c r="AD81" s="241">
        <f t="shared" si="41"/>
        <v>3330.558</v>
      </c>
      <c r="AE81" s="24">
        <f t="shared" si="42"/>
        <v>430.62599999999998</v>
      </c>
      <c r="AF81" s="24">
        <f t="shared" si="43"/>
        <v>14000</v>
      </c>
      <c r="AG81" s="16">
        <f t="shared" si="28"/>
        <v>47280.190999999992</v>
      </c>
      <c r="AH81" s="259">
        <f t="shared" si="45"/>
        <v>32849.564999999995</v>
      </c>
      <c r="AI81" s="50">
        <f t="shared" si="44"/>
        <v>3940.0159166666658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27"/>
        <v>21823.4</v>
      </c>
      <c r="S82" s="17">
        <v>24640</v>
      </c>
      <c r="U82" s="24">
        <f t="shared" si="32"/>
        <v>787.5</v>
      </c>
      <c r="V82" s="24">
        <f t="shared" si="33"/>
        <v>8599.5</v>
      </c>
      <c r="W82" s="24">
        <f t="shared" si="34"/>
        <v>2310</v>
      </c>
      <c r="X82" s="24">
        <f t="shared" si="35"/>
        <v>787.5</v>
      </c>
      <c r="Y82" s="24">
        <f t="shared" si="36"/>
        <v>787.5</v>
      </c>
      <c r="Z82" s="24">
        <f t="shared" si="37"/>
        <v>1888.95</v>
      </c>
      <c r="AA82" s="24">
        <f t="shared" si="38"/>
        <v>787.5</v>
      </c>
      <c r="AB82" s="24">
        <f t="shared" si="39"/>
        <v>787.5</v>
      </c>
      <c r="AC82" s="24">
        <f t="shared" si="40"/>
        <v>787.5</v>
      </c>
      <c r="AD82" s="241">
        <f t="shared" si="41"/>
        <v>1506.1200000000001</v>
      </c>
      <c r="AE82" s="24">
        <f t="shared" si="42"/>
        <v>2520</v>
      </c>
      <c r="AF82" s="24">
        <f t="shared" si="43"/>
        <v>1365</v>
      </c>
      <c r="AG82" s="16">
        <f t="shared" si="28"/>
        <v>22914.57</v>
      </c>
      <c r="AH82" s="259">
        <f t="shared" si="45"/>
        <v>19029.57</v>
      </c>
      <c r="AI82" s="50">
        <f t="shared" si="44"/>
        <v>1909.5474999999999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27"/>
        <v>15.333333333333334</v>
      </c>
      <c r="S83" s="17">
        <v>1240.0833333333333</v>
      </c>
      <c r="U83" s="24">
        <f t="shared" si="32"/>
        <v>0</v>
      </c>
      <c r="V83" s="24">
        <f t="shared" si="33"/>
        <v>0</v>
      </c>
      <c r="W83" s="24">
        <f t="shared" si="34"/>
        <v>0</v>
      </c>
      <c r="X83" s="24">
        <f t="shared" si="35"/>
        <v>0</v>
      </c>
      <c r="Y83" s="24">
        <f t="shared" si="36"/>
        <v>0</v>
      </c>
      <c r="Z83" s="24">
        <f t="shared" si="37"/>
        <v>0</v>
      </c>
      <c r="AA83" s="24">
        <f t="shared" si="38"/>
        <v>0</v>
      </c>
      <c r="AB83" s="24">
        <f t="shared" si="39"/>
        <v>0</v>
      </c>
      <c r="AC83" s="24">
        <f t="shared" si="40"/>
        <v>0</v>
      </c>
      <c r="AD83" s="241">
        <f t="shared" si="41"/>
        <v>0</v>
      </c>
      <c r="AE83" s="24">
        <f t="shared" si="42"/>
        <v>0</v>
      </c>
      <c r="AF83" s="24">
        <f t="shared" si="43"/>
        <v>16.100000000000001</v>
      </c>
      <c r="AG83" s="16">
        <f t="shared" si="28"/>
        <v>16.100000000000001</v>
      </c>
      <c r="AH83" s="259">
        <f t="shared" si="45"/>
        <v>0</v>
      </c>
      <c r="AI83" s="50">
        <f t="shared" si="44"/>
        <v>1.3416666666666668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U84" s="24">
        <v>5287</v>
      </c>
      <c r="V84" s="24">
        <v>5287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1">
        <v>5287</v>
      </c>
      <c r="AE84" s="24">
        <v>5287</v>
      </c>
      <c r="AF84" s="24">
        <v>5287</v>
      </c>
      <c r="AG84" s="16">
        <f>SUM(U84:AF84)</f>
        <v>63444</v>
      </c>
      <c r="AH84" s="259">
        <f t="shared" si="45"/>
        <v>52870</v>
      </c>
      <c r="AI84" s="50">
        <f t="shared" si="44"/>
        <v>5287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27"/>
        <v>93879.91</v>
      </c>
      <c r="S85" s="17">
        <v>17578.939999999999</v>
      </c>
      <c r="T85" s="115" t="s">
        <v>115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1">
        <f t="shared" si="41"/>
        <v>0</v>
      </c>
      <c r="AE85" s="24">
        <f t="shared" si="42"/>
        <v>0</v>
      </c>
      <c r="AF85" s="24">
        <f t="shared" si="43"/>
        <v>0</v>
      </c>
      <c r="AG85" s="16">
        <f t="shared" ref="AG85:AG106" si="46">SUM(U85:AF85)</f>
        <v>0</v>
      </c>
      <c r="AH85" s="259">
        <f t="shared" si="45"/>
        <v>0</v>
      </c>
      <c r="AI85" s="50">
        <f t="shared" si="44"/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27"/>
        <v>881698.67333333334</v>
      </c>
      <c r="S86" s="17">
        <v>652723</v>
      </c>
      <c r="T86" s="115" t="s">
        <v>116</v>
      </c>
      <c r="U86" s="24">
        <f t="shared" si="32"/>
        <v>27542.266499999998</v>
      </c>
      <c r="V86" s="24">
        <f t="shared" si="33"/>
        <v>54852.304499999998</v>
      </c>
      <c r="W86" s="24">
        <f t="shared" si="34"/>
        <v>54467.038500000002</v>
      </c>
      <c r="X86" s="24">
        <f t="shared" si="35"/>
        <v>60224.703000000001</v>
      </c>
      <c r="Y86" s="24">
        <f t="shared" si="36"/>
        <v>111177.65399999999</v>
      </c>
      <c r="Z86" s="24">
        <f t="shared" si="37"/>
        <v>44716.56</v>
      </c>
      <c r="AA86" s="24">
        <f t="shared" si="38"/>
        <v>88947.369000000006</v>
      </c>
      <c r="AB86" s="24">
        <f t="shared" si="39"/>
        <v>66973.189499999993</v>
      </c>
      <c r="AC86" s="24">
        <f t="shared" si="40"/>
        <v>177130.53750000001</v>
      </c>
      <c r="AD86" s="241">
        <f t="shared" si="41"/>
        <v>112475.496</v>
      </c>
      <c r="AE86" s="24">
        <f t="shared" si="42"/>
        <v>70163.225999999995</v>
      </c>
      <c r="AF86" s="24">
        <f t="shared" si="43"/>
        <v>57113.262500000004</v>
      </c>
      <c r="AG86" s="16">
        <f t="shared" si="46"/>
        <v>925783.60699999996</v>
      </c>
      <c r="AH86" s="259">
        <f t="shared" si="45"/>
        <v>798507.11849999998</v>
      </c>
      <c r="AI86" s="50">
        <f t="shared" si="44"/>
        <v>77148.633916666658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27"/>
        <v>54661.2</v>
      </c>
      <c r="S87" s="17">
        <v>48615.97</v>
      </c>
      <c r="U87" s="24">
        <f t="shared" si="32"/>
        <v>8794.7265000000007</v>
      </c>
      <c r="V87" s="24">
        <f t="shared" si="33"/>
        <v>2957.5559999999996</v>
      </c>
      <c r="W87" s="24">
        <f t="shared" si="34"/>
        <v>1170.96</v>
      </c>
      <c r="X87" s="24">
        <f t="shared" si="35"/>
        <v>7056.7980000000007</v>
      </c>
      <c r="Y87" s="24">
        <f t="shared" si="36"/>
        <v>1147.4189999999999</v>
      </c>
      <c r="Z87" s="24">
        <f t="shared" si="37"/>
        <v>2606.6039999999998</v>
      </c>
      <c r="AA87" s="24">
        <f t="shared" si="38"/>
        <v>6240.1710000000003</v>
      </c>
      <c r="AB87" s="24">
        <f t="shared" si="39"/>
        <v>3084.942</v>
      </c>
      <c r="AC87" s="24">
        <f t="shared" si="40"/>
        <v>7285.5929999999998</v>
      </c>
      <c r="AD87" s="241">
        <f t="shared" si="41"/>
        <v>3371.067</v>
      </c>
      <c r="AE87" s="24">
        <f t="shared" si="42"/>
        <v>6157.8404999999993</v>
      </c>
      <c r="AF87" s="24">
        <f t="shared" si="43"/>
        <v>7520.5829999999987</v>
      </c>
      <c r="AG87" s="16">
        <f t="shared" si="46"/>
        <v>57394.260000000009</v>
      </c>
      <c r="AH87" s="259">
        <f t="shared" si="45"/>
        <v>43715.836500000012</v>
      </c>
      <c r="AI87" s="50">
        <f t="shared" si="44"/>
        <v>4782.8550000000005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27"/>
        <v>998654.80999999994</v>
      </c>
      <c r="S88" s="17">
        <v>913062.7</v>
      </c>
      <c r="T88" s="115" t="s">
        <v>117</v>
      </c>
      <c r="U88" s="24">
        <f t="shared" si="32"/>
        <v>0</v>
      </c>
      <c r="V88" s="24">
        <f t="shared" si="33"/>
        <v>0</v>
      </c>
      <c r="W88" s="24">
        <f t="shared" si="34"/>
        <v>21665.290499999999</v>
      </c>
      <c r="X88" s="24">
        <f t="shared" si="35"/>
        <v>23695.297500000001</v>
      </c>
      <c r="Y88" s="24">
        <f t="shared" si="36"/>
        <v>0</v>
      </c>
      <c r="Z88" s="24">
        <f t="shared" si="37"/>
        <v>218970.1605</v>
      </c>
      <c r="AA88" s="24">
        <f t="shared" si="38"/>
        <v>36510.557999999997</v>
      </c>
      <c r="AB88" s="24">
        <f t="shared" si="39"/>
        <v>36510.568500000001</v>
      </c>
      <c r="AC88" s="24">
        <f t="shared" si="40"/>
        <v>0</v>
      </c>
      <c r="AD88" s="241">
        <f t="shared" si="41"/>
        <v>210038.39850000001</v>
      </c>
      <c r="AE88" s="24">
        <f t="shared" si="42"/>
        <v>346718.78850000002</v>
      </c>
      <c r="AF88" s="24">
        <f t="shared" si="43"/>
        <v>154478.48850000001</v>
      </c>
      <c r="AG88" s="16">
        <f t="shared" si="46"/>
        <v>1048587.5505000001</v>
      </c>
      <c r="AH88" s="259">
        <f t="shared" si="45"/>
        <v>547390.27350000001</v>
      </c>
      <c r="AI88" s="50">
        <f t="shared" si="44"/>
        <v>87382.295875000011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27"/>
        <v>79964.933333333334</v>
      </c>
      <c r="S89" s="17">
        <v>85000</v>
      </c>
      <c r="U89" s="24">
        <f t="shared" si="32"/>
        <v>9681</v>
      </c>
      <c r="V89" s="24">
        <f t="shared" si="33"/>
        <v>6092.1</v>
      </c>
      <c r="W89" s="24">
        <f t="shared" si="34"/>
        <v>14347.2</v>
      </c>
      <c r="X89" s="24">
        <f t="shared" si="35"/>
        <v>893.55</v>
      </c>
      <c r="Y89" s="24">
        <f t="shared" si="36"/>
        <v>10128.299999999999</v>
      </c>
      <c r="Z89" s="24">
        <f t="shared" si="37"/>
        <v>6246.7650000000003</v>
      </c>
      <c r="AA89" s="24">
        <f t="shared" si="38"/>
        <v>10122.525</v>
      </c>
      <c r="AB89" s="24">
        <f t="shared" si="39"/>
        <v>0</v>
      </c>
      <c r="AC89" s="24">
        <f t="shared" si="40"/>
        <v>8513.19</v>
      </c>
      <c r="AD89" s="241">
        <f t="shared" si="41"/>
        <v>6012.3</v>
      </c>
      <c r="AE89" s="24">
        <f t="shared" si="42"/>
        <v>4488.75</v>
      </c>
      <c r="AF89" s="24">
        <f t="shared" si="43"/>
        <v>7437.5</v>
      </c>
      <c r="AG89" s="16">
        <f t="shared" si="46"/>
        <v>83963.180000000008</v>
      </c>
      <c r="AH89" s="259">
        <f t="shared" si="45"/>
        <v>72036.930000000008</v>
      </c>
      <c r="AI89" s="50">
        <f t="shared" si="44"/>
        <v>6996.9316666666673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27"/>
        <v>43680.876666666671</v>
      </c>
      <c r="S90" s="17">
        <v>46443.286666666667</v>
      </c>
      <c r="U90" s="24">
        <f t="shared" si="32"/>
        <v>743.4</v>
      </c>
      <c r="V90" s="24">
        <f t="shared" si="33"/>
        <v>879.9</v>
      </c>
      <c r="W90" s="24">
        <f t="shared" si="34"/>
        <v>2732.6985</v>
      </c>
      <c r="X90" s="24">
        <f t="shared" si="35"/>
        <v>0</v>
      </c>
      <c r="Y90" s="24">
        <f t="shared" si="36"/>
        <v>30127.881000000001</v>
      </c>
      <c r="Z90" s="24">
        <f t="shared" si="37"/>
        <v>0</v>
      </c>
      <c r="AA90" s="24">
        <f t="shared" si="38"/>
        <v>4071.0809999999997</v>
      </c>
      <c r="AB90" s="24">
        <f t="shared" si="39"/>
        <v>0</v>
      </c>
      <c r="AC90" s="24">
        <f t="shared" si="40"/>
        <v>3403.5014999999999</v>
      </c>
      <c r="AD90" s="241">
        <f t="shared" si="41"/>
        <v>89.25</v>
      </c>
      <c r="AE90" s="24">
        <f t="shared" si="42"/>
        <v>0</v>
      </c>
      <c r="AF90" s="24">
        <f t="shared" si="43"/>
        <v>3817.2084999999997</v>
      </c>
      <c r="AG90" s="16">
        <f t="shared" si="46"/>
        <v>45864.9205</v>
      </c>
      <c r="AH90" s="259">
        <f t="shared" si="45"/>
        <v>42047.712</v>
      </c>
      <c r="AI90" s="50">
        <f t="shared" si="44"/>
        <v>3822.0767083333335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27"/>
        <v>0</v>
      </c>
      <c r="S91" s="17">
        <v>0</v>
      </c>
      <c r="U91" s="24">
        <f t="shared" si="32"/>
        <v>0</v>
      </c>
      <c r="V91" s="24">
        <f t="shared" si="33"/>
        <v>0</v>
      </c>
      <c r="W91" s="24">
        <f t="shared" si="34"/>
        <v>0</v>
      </c>
      <c r="X91" s="24">
        <f t="shared" si="35"/>
        <v>0</v>
      </c>
      <c r="Y91" s="24">
        <f t="shared" si="36"/>
        <v>0</v>
      </c>
      <c r="Z91" s="24">
        <f t="shared" si="37"/>
        <v>0</v>
      </c>
      <c r="AA91" s="24">
        <f t="shared" si="38"/>
        <v>0</v>
      </c>
      <c r="AB91" s="24">
        <f t="shared" si="39"/>
        <v>0</v>
      </c>
      <c r="AC91" s="24">
        <f t="shared" si="40"/>
        <v>0</v>
      </c>
      <c r="AD91" s="241">
        <f t="shared" si="41"/>
        <v>0</v>
      </c>
      <c r="AE91" s="24">
        <f t="shared" si="42"/>
        <v>0</v>
      </c>
      <c r="AF91" s="24">
        <f t="shared" si="43"/>
        <v>0</v>
      </c>
      <c r="AG91" s="16">
        <f t="shared" si="46"/>
        <v>0</v>
      </c>
      <c r="AH91" s="259">
        <f t="shared" si="45"/>
        <v>0</v>
      </c>
      <c r="AI91" s="50">
        <f t="shared" si="44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27"/>
        <v>32163.15</v>
      </c>
      <c r="S92" s="17">
        <v>71846.950000000012</v>
      </c>
      <c r="U92" s="24">
        <f t="shared" si="32"/>
        <v>1050</v>
      </c>
      <c r="V92" s="24">
        <f t="shared" si="33"/>
        <v>3066.8294999999998</v>
      </c>
      <c r="W92" s="24">
        <f t="shared" si="34"/>
        <v>4899.4364999999998</v>
      </c>
      <c r="X92" s="24">
        <f t="shared" si="35"/>
        <v>1295.49</v>
      </c>
      <c r="Y92" s="24">
        <f t="shared" si="36"/>
        <v>592.7985000000001</v>
      </c>
      <c r="Z92" s="24">
        <f t="shared" si="37"/>
        <v>1624.2450000000001</v>
      </c>
      <c r="AA92" s="24">
        <f t="shared" si="38"/>
        <v>3312.393</v>
      </c>
      <c r="AB92" s="24">
        <f t="shared" si="39"/>
        <v>102.9</v>
      </c>
      <c r="AC92" s="24">
        <f t="shared" si="40"/>
        <v>285.22199999999998</v>
      </c>
      <c r="AD92" s="241">
        <f t="shared" si="41"/>
        <v>766.5</v>
      </c>
      <c r="AE92" s="24">
        <f t="shared" si="42"/>
        <v>134.08500000000001</v>
      </c>
      <c r="AF92" s="24">
        <f t="shared" si="43"/>
        <v>16641.407999999999</v>
      </c>
      <c r="AG92" s="16">
        <f t="shared" si="46"/>
        <v>33771.307499999995</v>
      </c>
      <c r="AH92" s="259">
        <f t="shared" si="45"/>
        <v>16995.8145</v>
      </c>
      <c r="AI92" s="50">
        <f t="shared" si="44"/>
        <v>2814.2756249999998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27"/>
        <v>566.33333333333337</v>
      </c>
      <c r="S93" s="74">
        <v>2265.3333333333335</v>
      </c>
      <c r="U93" s="24">
        <f t="shared" si="32"/>
        <v>0</v>
      </c>
      <c r="V93" s="24">
        <f t="shared" si="33"/>
        <v>0</v>
      </c>
      <c r="W93" s="24">
        <f t="shared" si="34"/>
        <v>0</v>
      </c>
      <c r="X93" s="24">
        <f t="shared" si="35"/>
        <v>0</v>
      </c>
      <c r="Y93" s="24">
        <f t="shared" si="36"/>
        <v>0</v>
      </c>
      <c r="Z93" s="24">
        <f t="shared" si="37"/>
        <v>0</v>
      </c>
      <c r="AA93" s="24">
        <f t="shared" si="38"/>
        <v>0</v>
      </c>
      <c r="AB93" s="24">
        <f t="shared" si="39"/>
        <v>0</v>
      </c>
      <c r="AC93" s="24">
        <f t="shared" si="40"/>
        <v>0</v>
      </c>
      <c r="AD93" s="241">
        <f t="shared" si="41"/>
        <v>0</v>
      </c>
      <c r="AE93" s="24">
        <f t="shared" si="42"/>
        <v>0</v>
      </c>
      <c r="AF93" s="24">
        <f t="shared" si="43"/>
        <v>594.65000000000009</v>
      </c>
      <c r="AG93" s="16">
        <f t="shared" si="46"/>
        <v>594.65000000000009</v>
      </c>
      <c r="AH93" s="259">
        <f t="shared" si="45"/>
        <v>0</v>
      </c>
      <c r="AI93" s="50">
        <f t="shared" si="44"/>
        <v>49.554166666666674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27"/>
        <v>121.8</v>
      </c>
      <c r="S94" s="17">
        <v>0</v>
      </c>
      <c r="U94" s="24">
        <f t="shared" si="32"/>
        <v>127.89</v>
      </c>
      <c r="V94" s="24">
        <f t="shared" si="33"/>
        <v>0</v>
      </c>
      <c r="W94" s="24">
        <f t="shared" si="34"/>
        <v>0</v>
      </c>
      <c r="X94" s="24">
        <f t="shared" si="35"/>
        <v>0</v>
      </c>
      <c r="Y94" s="24">
        <f t="shared" si="36"/>
        <v>0</v>
      </c>
      <c r="Z94" s="24">
        <f t="shared" si="37"/>
        <v>0</v>
      </c>
      <c r="AA94" s="24">
        <f t="shared" si="38"/>
        <v>0</v>
      </c>
      <c r="AB94" s="24">
        <f t="shared" si="39"/>
        <v>0</v>
      </c>
      <c r="AC94" s="24">
        <f t="shared" si="40"/>
        <v>0</v>
      </c>
      <c r="AD94" s="241">
        <f t="shared" si="41"/>
        <v>0</v>
      </c>
      <c r="AE94" s="24">
        <f t="shared" si="42"/>
        <v>0</v>
      </c>
      <c r="AF94" s="24">
        <f t="shared" si="43"/>
        <v>0</v>
      </c>
      <c r="AG94" s="16">
        <f t="shared" si="46"/>
        <v>127.89</v>
      </c>
      <c r="AH94" s="259">
        <f t="shared" si="45"/>
        <v>127.89</v>
      </c>
      <c r="AI94" s="50">
        <f t="shared" si="44"/>
        <v>10.657500000000001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27"/>
        <v>640</v>
      </c>
      <c r="S95" s="17">
        <v>1090</v>
      </c>
      <c r="U95" s="24">
        <f t="shared" si="32"/>
        <v>0</v>
      </c>
      <c r="V95" s="24">
        <f t="shared" si="33"/>
        <v>0</v>
      </c>
      <c r="W95" s="24">
        <f t="shared" si="34"/>
        <v>0</v>
      </c>
      <c r="X95" s="24">
        <f t="shared" si="35"/>
        <v>0</v>
      </c>
      <c r="Y95" s="24">
        <f t="shared" si="36"/>
        <v>672</v>
      </c>
      <c r="Z95" s="24">
        <f t="shared" si="37"/>
        <v>0</v>
      </c>
      <c r="AA95" s="24">
        <f t="shared" si="38"/>
        <v>0</v>
      </c>
      <c r="AB95" s="24">
        <f t="shared" si="39"/>
        <v>0</v>
      </c>
      <c r="AC95" s="24">
        <f t="shared" si="40"/>
        <v>0</v>
      </c>
      <c r="AD95" s="241">
        <f t="shared" si="41"/>
        <v>0</v>
      </c>
      <c r="AE95" s="24">
        <f t="shared" si="42"/>
        <v>0</v>
      </c>
      <c r="AF95" s="24">
        <f t="shared" si="43"/>
        <v>0</v>
      </c>
      <c r="AG95" s="16">
        <f t="shared" si="46"/>
        <v>672</v>
      </c>
      <c r="AH95" s="259">
        <f t="shared" si="45"/>
        <v>672</v>
      </c>
      <c r="AI95" s="50">
        <f t="shared" si="44"/>
        <v>56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27"/>
        <v>0</v>
      </c>
      <c r="S96" s="17">
        <v>0</v>
      </c>
      <c r="U96" s="24">
        <f t="shared" si="32"/>
        <v>0</v>
      </c>
      <c r="V96" s="24">
        <f t="shared" si="33"/>
        <v>0</v>
      </c>
      <c r="W96" s="24">
        <f t="shared" si="34"/>
        <v>0</v>
      </c>
      <c r="X96" s="24">
        <f t="shared" si="35"/>
        <v>0</v>
      </c>
      <c r="Y96" s="24">
        <f t="shared" si="36"/>
        <v>0</v>
      </c>
      <c r="Z96" s="24">
        <f t="shared" si="37"/>
        <v>0</v>
      </c>
      <c r="AA96" s="24">
        <f t="shared" si="38"/>
        <v>0</v>
      </c>
      <c r="AB96" s="24">
        <f t="shared" si="39"/>
        <v>0</v>
      </c>
      <c r="AC96" s="24">
        <f t="shared" si="40"/>
        <v>0</v>
      </c>
      <c r="AD96" s="241">
        <f t="shared" si="41"/>
        <v>0</v>
      </c>
      <c r="AE96" s="24">
        <f t="shared" si="42"/>
        <v>0</v>
      </c>
      <c r="AF96" s="24">
        <f t="shared" si="43"/>
        <v>0</v>
      </c>
      <c r="AG96" s="16">
        <f t="shared" si="46"/>
        <v>0</v>
      </c>
      <c r="AH96" s="259">
        <f t="shared" si="45"/>
        <v>0</v>
      </c>
      <c r="AI96" s="50">
        <f t="shared" si="44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27"/>
        <v>183.98</v>
      </c>
      <c r="S97" s="17">
        <v>61.2</v>
      </c>
      <c r="U97" s="24">
        <f t="shared" si="32"/>
        <v>0</v>
      </c>
      <c r="V97" s="24">
        <f t="shared" si="33"/>
        <v>0</v>
      </c>
      <c r="W97" s="24">
        <f t="shared" si="34"/>
        <v>0</v>
      </c>
      <c r="X97" s="24">
        <f t="shared" si="35"/>
        <v>0</v>
      </c>
      <c r="Y97" s="24">
        <f t="shared" si="36"/>
        <v>0</v>
      </c>
      <c r="Z97" s="24">
        <f t="shared" si="37"/>
        <v>0</v>
      </c>
      <c r="AA97" s="24">
        <f t="shared" si="38"/>
        <v>0</v>
      </c>
      <c r="AB97" s="24">
        <f t="shared" si="39"/>
        <v>0</v>
      </c>
      <c r="AC97" s="24">
        <f t="shared" si="40"/>
        <v>0</v>
      </c>
      <c r="AD97" s="241">
        <f t="shared" si="41"/>
        <v>0</v>
      </c>
      <c r="AE97" s="24">
        <f t="shared" si="42"/>
        <v>193.179</v>
      </c>
      <c r="AF97" s="24">
        <f t="shared" si="43"/>
        <v>0</v>
      </c>
      <c r="AG97" s="25">
        <f t="shared" si="46"/>
        <v>193.179</v>
      </c>
      <c r="AH97" s="259">
        <f t="shared" si="45"/>
        <v>0</v>
      </c>
      <c r="AI97" s="50">
        <f t="shared" si="44"/>
        <v>16.09825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27"/>
        <v>0</v>
      </c>
      <c r="S98" s="17">
        <v>0</v>
      </c>
      <c r="U98" s="24">
        <f t="shared" si="32"/>
        <v>0</v>
      </c>
      <c r="V98" s="24">
        <f t="shared" si="33"/>
        <v>0</v>
      </c>
      <c r="W98" s="24">
        <f t="shared" si="34"/>
        <v>0</v>
      </c>
      <c r="X98" s="24">
        <f t="shared" si="35"/>
        <v>0</v>
      </c>
      <c r="Y98" s="24">
        <f t="shared" si="36"/>
        <v>0</v>
      </c>
      <c r="Z98" s="24">
        <f t="shared" si="37"/>
        <v>0</v>
      </c>
      <c r="AA98" s="24">
        <f t="shared" si="38"/>
        <v>0</v>
      </c>
      <c r="AB98" s="24">
        <f t="shared" si="39"/>
        <v>0</v>
      </c>
      <c r="AC98" s="24">
        <f t="shared" si="40"/>
        <v>0</v>
      </c>
      <c r="AD98" s="241">
        <f t="shared" si="41"/>
        <v>0</v>
      </c>
      <c r="AE98" s="24">
        <f t="shared" si="42"/>
        <v>0</v>
      </c>
      <c r="AF98" s="24">
        <f t="shared" si="43"/>
        <v>0</v>
      </c>
      <c r="AG98" s="25">
        <f t="shared" si="46"/>
        <v>0</v>
      </c>
      <c r="AH98" s="259">
        <f t="shared" si="45"/>
        <v>0</v>
      </c>
      <c r="AI98" s="50">
        <f t="shared" si="44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27"/>
        <v>29153.453333333335</v>
      </c>
      <c r="S99" s="17">
        <v>19727.403333333332</v>
      </c>
      <c r="U99" s="24">
        <f t="shared" si="32"/>
        <v>36.54</v>
      </c>
      <c r="V99" s="24">
        <f t="shared" si="33"/>
        <v>9405.3960000000006</v>
      </c>
      <c r="W99" s="24">
        <f t="shared" si="34"/>
        <v>2211.8879999999999</v>
      </c>
      <c r="X99" s="24">
        <f t="shared" si="35"/>
        <v>1770.4259999999999</v>
      </c>
      <c r="Y99" s="24">
        <f t="shared" si="36"/>
        <v>0</v>
      </c>
      <c r="Z99" s="24">
        <f t="shared" si="37"/>
        <v>3590.7059999999997</v>
      </c>
      <c r="AA99" s="24">
        <f t="shared" si="38"/>
        <v>2023.6754999999998</v>
      </c>
      <c r="AB99" s="24">
        <f t="shared" si="39"/>
        <v>25.2</v>
      </c>
      <c r="AC99" s="24">
        <f t="shared" si="40"/>
        <v>4440.9435000000003</v>
      </c>
      <c r="AD99" s="241">
        <f t="shared" si="41"/>
        <v>2413.3829999999998</v>
      </c>
      <c r="AE99" s="24">
        <f t="shared" si="42"/>
        <v>2476.7294999999999</v>
      </c>
      <c r="AF99" s="24">
        <f t="shared" si="43"/>
        <v>2216.2384999999999</v>
      </c>
      <c r="AG99" s="25">
        <f t="shared" si="46"/>
        <v>30611.126000000004</v>
      </c>
      <c r="AH99" s="259">
        <f t="shared" si="45"/>
        <v>25918.158000000003</v>
      </c>
      <c r="AI99" s="50">
        <f t="shared" si="44"/>
        <v>2550.9271666666668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27"/>
        <v>0</v>
      </c>
      <c r="S100" s="17">
        <v>0</v>
      </c>
      <c r="U100" s="24">
        <f t="shared" si="32"/>
        <v>0</v>
      </c>
      <c r="V100" s="24">
        <f t="shared" si="33"/>
        <v>0</v>
      </c>
      <c r="W100" s="24">
        <f t="shared" si="34"/>
        <v>0</v>
      </c>
      <c r="X100" s="24">
        <f t="shared" si="35"/>
        <v>0</v>
      </c>
      <c r="Y100" s="24">
        <f t="shared" si="36"/>
        <v>0</v>
      </c>
      <c r="Z100" s="24">
        <f t="shared" si="37"/>
        <v>0</v>
      </c>
      <c r="AA100" s="24">
        <f t="shared" si="38"/>
        <v>0</v>
      </c>
      <c r="AB100" s="24">
        <f t="shared" si="39"/>
        <v>0</v>
      </c>
      <c r="AC100" s="24">
        <f t="shared" si="40"/>
        <v>0</v>
      </c>
      <c r="AD100" s="241">
        <f t="shared" si="41"/>
        <v>0</v>
      </c>
      <c r="AE100" s="24">
        <f t="shared" si="42"/>
        <v>0</v>
      </c>
      <c r="AF100" s="24">
        <f t="shared" si="43"/>
        <v>0</v>
      </c>
      <c r="AG100" s="25">
        <f t="shared" si="46"/>
        <v>0</v>
      </c>
      <c r="AH100" s="259">
        <f t="shared" si="45"/>
        <v>0</v>
      </c>
      <c r="AI100" s="50">
        <f t="shared" si="44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27"/>
        <v>1303.3600000000001</v>
      </c>
      <c r="S101" s="17">
        <v>160</v>
      </c>
      <c r="U101" s="24">
        <f t="shared" si="32"/>
        <v>91.35</v>
      </c>
      <c r="V101" s="24">
        <f t="shared" si="33"/>
        <v>0</v>
      </c>
      <c r="W101" s="24">
        <f t="shared" si="34"/>
        <v>0</v>
      </c>
      <c r="X101" s="24">
        <f t="shared" si="35"/>
        <v>147.37800000000001</v>
      </c>
      <c r="Y101" s="24">
        <f t="shared" si="36"/>
        <v>352.8</v>
      </c>
      <c r="Z101" s="24">
        <f t="shared" si="37"/>
        <v>0</v>
      </c>
      <c r="AA101" s="24">
        <f t="shared" si="38"/>
        <v>157.5</v>
      </c>
      <c r="AB101" s="24">
        <f t="shared" si="39"/>
        <v>0</v>
      </c>
      <c r="AC101" s="24">
        <f t="shared" si="40"/>
        <v>336</v>
      </c>
      <c r="AD101" s="241">
        <f t="shared" si="41"/>
        <v>0</v>
      </c>
      <c r="AE101" s="24">
        <f t="shared" si="42"/>
        <v>252</v>
      </c>
      <c r="AF101" s="24">
        <f t="shared" si="43"/>
        <v>31.5</v>
      </c>
      <c r="AG101" s="25">
        <f t="shared" si="46"/>
        <v>1368.528</v>
      </c>
      <c r="AH101" s="259">
        <f t="shared" si="45"/>
        <v>1085.028</v>
      </c>
      <c r="AI101" s="50">
        <f t="shared" si="44"/>
        <v>114.044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27"/>
        <v>4179.333333333333</v>
      </c>
      <c r="S102" s="17">
        <v>16717.333333333332</v>
      </c>
      <c r="U102" s="24">
        <f t="shared" si="32"/>
        <v>0</v>
      </c>
      <c r="V102" s="24">
        <f t="shared" si="33"/>
        <v>0</v>
      </c>
      <c r="W102" s="24">
        <f t="shared" si="34"/>
        <v>0</v>
      </c>
      <c r="X102" s="24">
        <f t="shared" si="35"/>
        <v>0</v>
      </c>
      <c r="Y102" s="24">
        <f t="shared" si="36"/>
        <v>0</v>
      </c>
      <c r="Z102" s="24">
        <f t="shared" si="37"/>
        <v>0</v>
      </c>
      <c r="AA102" s="24">
        <f t="shared" si="38"/>
        <v>0</v>
      </c>
      <c r="AB102" s="24">
        <f t="shared" si="39"/>
        <v>0</v>
      </c>
      <c r="AC102" s="24">
        <f t="shared" si="40"/>
        <v>0</v>
      </c>
      <c r="AD102" s="241">
        <f t="shared" si="41"/>
        <v>0</v>
      </c>
      <c r="AE102" s="24">
        <f t="shared" si="42"/>
        <v>0</v>
      </c>
      <c r="AF102" s="24">
        <f t="shared" si="43"/>
        <v>4388.2999999999993</v>
      </c>
      <c r="AG102" s="25">
        <f t="shared" si="46"/>
        <v>4388.2999999999993</v>
      </c>
      <c r="AH102" s="259">
        <f t="shared" si="45"/>
        <v>0</v>
      </c>
      <c r="AI102" s="50">
        <f t="shared" si="44"/>
        <v>365.69166666666661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27"/>
        <v>2449</v>
      </c>
      <c r="S103" s="17">
        <v>3234</v>
      </c>
      <c r="U103" s="24">
        <f t="shared" si="32"/>
        <v>0</v>
      </c>
      <c r="V103" s="24">
        <f t="shared" si="33"/>
        <v>0</v>
      </c>
      <c r="W103" s="24">
        <f t="shared" si="34"/>
        <v>710.85</v>
      </c>
      <c r="X103" s="24">
        <f t="shared" si="35"/>
        <v>0</v>
      </c>
      <c r="Y103" s="24">
        <f t="shared" si="36"/>
        <v>0</v>
      </c>
      <c r="Z103" s="24">
        <f t="shared" si="37"/>
        <v>0</v>
      </c>
      <c r="AA103" s="24">
        <f t="shared" si="38"/>
        <v>0</v>
      </c>
      <c r="AB103" s="24">
        <f t="shared" si="39"/>
        <v>0</v>
      </c>
      <c r="AC103" s="24">
        <f t="shared" si="40"/>
        <v>995.4</v>
      </c>
      <c r="AD103" s="241">
        <f t="shared" si="41"/>
        <v>865.2</v>
      </c>
      <c r="AE103" s="24">
        <f t="shared" si="42"/>
        <v>0</v>
      </c>
      <c r="AF103" s="24">
        <f t="shared" si="43"/>
        <v>0</v>
      </c>
      <c r="AG103" s="25">
        <f t="shared" si="46"/>
        <v>2571.4499999999998</v>
      </c>
      <c r="AH103" s="259">
        <f t="shared" si="45"/>
        <v>2571.4499999999998</v>
      </c>
      <c r="AI103" s="50">
        <f t="shared" si="44"/>
        <v>214.28749999999999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27"/>
        <v>24010</v>
      </c>
      <c r="S104" s="17">
        <v>201120</v>
      </c>
      <c r="U104" s="24">
        <f t="shared" si="32"/>
        <v>0</v>
      </c>
      <c r="V104" s="24">
        <f t="shared" si="33"/>
        <v>0</v>
      </c>
      <c r="W104" s="24">
        <f t="shared" si="34"/>
        <v>0</v>
      </c>
      <c r="X104" s="24">
        <f t="shared" si="35"/>
        <v>0</v>
      </c>
      <c r="Y104" s="24">
        <f t="shared" si="36"/>
        <v>0</v>
      </c>
      <c r="Z104" s="24">
        <f t="shared" si="37"/>
        <v>0</v>
      </c>
      <c r="AA104" s="24">
        <f t="shared" si="38"/>
        <v>0</v>
      </c>
      <c r="AB104" s="24">
        <f t="shared" si="39"/>
        <v>5733</v>
      </c>
      <c r="AC104" s="24">
        <f t="shared" si="40"/>
        <v>0</v>
      </c>
      <c r="AD104" s="241">
        <f t="shared" si="41"/>
        <v>1879.5</v>
      </c>
      <c r="AE104" s="24">
        <f t="shared" si="42"/>
        <v>0</v>
      </c>
      <c r="AF104" s="24">
        <f t="shared" si="43"/>
        <v>17598</v>
      </c>
      <c r="AG104" s="25">
        <f t="shared" si="46"/>
        <v>25210.5</v>
      </c>
      <c r="AH104" s="259">
        <f t="shared" si="45"/>
        <v>7612.5</v>
      </c>
      <c r="AI104" s="50">
        <f t="shared" si="44"/>
        <v>2100.875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27"/>
        <v>3470</v>
      </c>
      <c r="S105" s="17">
        <v>0</v>
      </c>
      <c r="U105" s="24">
        <f t="shared" si="32"/>
        <v>0</v>
      </c>
      <c r="V105" s="24">
        <f t="shared" si="33"/>
        <v>0</v>
      </c>
      <c r="W105" s="24">
        <f t="shared" si="34"/>
        <v>0</v>
      </c>
      <c r="X105" s="24">
        <f t="shared" si="35"/>
        <v>0</v>
      </c>
      <c r="Y105" s="24">
        <f t="shared" si="36"/>
        <v>0</v>
      </c>
      <c r="Z105" s="24">
        <f t="shared" si="37"/>
        <v>0</v>
      </c>
      <c r="AA105" s="24">
        <f t="shared" si="38"/>
        <v>0</v>
      </c>
      <c r="AB105" s="24">
        <f t="shared" si="39"/>
        <v>0</v>
      </c>
      <c r="AC105" s="24">
        <f t="shared" si="40"/>
        <v>0</v>
      </c>
      <c r="AD105" s="241">
        <f t="shared" si="41"/>
        <v>0</v>
      </c>
      <c r="AE105" s="24">
        <f t="shared" si="42"/>
        <v>3643.5</v>
      </c>
      <c r="AF105" s="24">
        <f t="shared" si="43"/>
        <v>0</v>
      </c>
      <c r="AG105" s="25">
        <f t="shared" si="46"/>
        <v>3643.5</v>
      </c>
      <c r="AH105" s="259">
        <f t="shared" si="45"/>
        <v>0</v>
      </c>
      <c r="AI105" s="50">
        <f t="shared" si="44"/>
        <v>303.625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27"/>
        <v>1932.08</v>
      </c>
      <c r="S106" s="17">
        <v>0</v>
      </c>
      <c r="U106" s="24">
        <f t="shared" si="32"/>
        <v>0</v>
      </c>
      <c r="V106" s="24">
        <f t="shared" si="33"/>
        <v>0</v>
      </c>
      <c r="W106" s="24">
        <f t="shared" si="34"/>
        <v>0</v>
      </c>
      <c r="X106" s="24">
        <f t="shared" si="35"/>
        <v>0</v>
      </c>
      <c r="Y106" s="24">
        <f t="shared" si="36"/>
        <v>0</v>
      </c>
      <c r="Z106" s="24">
        <f t="shared" si="37"/>
        <v>0</v>
      </c>
      <c r="AA106" s="24">
        <f t="shared" si="38"/>
        <v>0</v>
      </c>
      <c r="AB106" s="24">
        <f t="shared" si="39"/>
        <v>0</v>
      </c>
      <c r="AC106" s="24">
        <f t="shared" si="40"/>
        <v>2028.684</v>
      </c>
      <c r="AD106" s="241">
        <f t="shared" si="41"/>
        <v>0</v>
      </c>
      <c r="AE106" s="24">
        <f t="shared" si="42"/>
        <v>0</v>
      </c>
      <c r="AF106" s="24">
        <f t="shared" si="43"/>
        <v>0</v>
      </c>
      <c r="AG106" s="25">
        <f t="shared" si="46"/>
        <v>2028.684</v>
      </c>
      <c r="AH106" s="259">
        <f t="shared" si="45"/>
        <v>2028.684</v>
      </c>
      <c r="AI106" s="50">
        <f t="shared" si="44"/>
        <v>169.05699999999999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U107" s="24">
        <f t="shared" si="32"/>
        <v>71784.552000000011</v>
      </c>
      <c r="V107" s="24">
        <f t="shared" si="33"/>
        <v>65453.272499999999</v>
      </c>
      <c r="W107" s="24">
        <f t="shared" si="34"/>
        <v>110583.5325</v>
      </c>
      <c r="X107" s="24">
        <f t="shared" si="35"/>
        <v>100955.85149999999</v>
      </c>
      <c r="Y107" s="24">
        <f t="shared" si="36"/>
        <v>74008.661999999997</v>
      </c>
      <c r="Z107" s="24">
        <f t="shared" si="37"/>
        <v>131663.6685</v>
      </c>
      <c r="AA107" s="24">
        <f t="shared" si="38"/>
        <v>83433.755999999994</v>
      </c>
      <c r="AB107" s="24">
        <f t="shared" si="39"/>
        <v>86088.439499999993</v>
      </c>
      <c r="AC107" s="24">
        <f t="shared" si="40"/>
        <v>89663.920500000007</v>
      </c>
      <c r="AD107" s="241">
        <f t="shared" si="41"/>
        <v>104908.78649999997</v>
      </c>
      <c r="AE107" s="24">
        <f t="shared" si="42"/>
        <v>100174.22099999999</v>
      </c>
      <c r="AF107" s="24">
        <f t="shared" si="43"/>
        <v>113568.8855</v>
      </c>
      <c r="AG107" s="25">
        <f>SUM(U107:AF107)</f>
        <v>1132287.548</v>
      </c>
      <c r="AH107" s="259">
        <f t="shared" si="45"/>
        <v>918544.44149999984</v>
      </c>
      <c r="AI107" s="50">
        <f t="shared" si="44"/>
        <v>94357.295666666658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U108" s="24">
        <f t="shared" si="32"/>
        <v>13860</v>
      </c>
      <c r="V108" s="24">
        <f t="shared" si="33"/>
        <v>0</v>
      </c>
      <c r="W108" s="24">
        <f t="shared" si="34"/>
        <v>0</v>
      </c>
      <c r="X108" s="24">
        <f t="shared" si="35"/>
        <v>13181.7</v>
      </c>
      <c r="Y108" s="24">
        <f t="shared" si="36"/>
        <v>0</v>
      </c>
      <c r="Z108" s="24">
        <f t="shared" si="37"/>
        <v>0</v>
      </c>
      <c r="AA108" s="24">
        <f t="shared" si="38"/>
        <v>0</v>
      </c>
      <c r="AB108" s="24">
        <f t="shared" si="39"/>
        <v>0</v>
      </c>
      <c r="AC108" s="24">
        <f t="shared" si="40"/>
        <v>0</v>
      </c>
      <c r="AD108" s="241">
        <f t="shared" si="41"/>
        <v>0</v>
      </c>
      <c r="AE108" s="24">
        <f t="shared" si="42"/>
        <v>122062.5</v>
      </c>
      <c r="AF108" s="24">
        <f t="shared" si="43"/>
        <v>65554.649999999994</v>
      </c>
      <c r="AG108" s="16">
        <f>SUM(U108:AF108)</f>
        <v>214658.85</v>
      </c>
      <c r="AH108" s="259">
        <f t="shared" si="45"/>
        <v>27041.7</v>
      </c>
      <c r="AI108" s="50">
        <f t="shared" si="44"/>
        <v>17888.237499999999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47">SUM(F66:F108)</f>
        <v>775501.7200000002</v>
      </c>
      <c r="G109" s="140">
        <f t="shared" si="47"/>
        <v>697037.53000000014</v>
      </c>
      <c r="H109" s="140">
        <f t="shared" si="47"/>
        <v>874326.24</v>
      </c>
      <c r="I109" s="140">
        <f t="shared" si="47"/>
        <v>841975.76</v>
      </c>
      <c r="J109" s="140">
        <f t="shared" si="47"/>
        <v>957949.56999999983</v>
      </c>
      <c r="K109" s="140">
        <f t="shared" si="47"/>
        <v>1028309.89</v>
      </c>
      <c r="L109" s="140">
        <f t="shared" si="47"/>
        <v>1060293.73</v>
      </c>
      <c r="M109" s="140">
        <f t="shared" si="47"/>
        <v>852511.07</v>
      </c>
      <c r="N109" s="140">
        <f t="shared" si="47"/>
        <v>1075684.8500000003</v>
      </c>
      <c r="O109" s="140">
        <f t="shared" si="47"/>
        <v>1126034.72</v>
      </c>
      <c r="P109" s="140">
        <f t="shared" si="47"/>
        <v>1286926.2499999998</v>
      </c>
      <c r="Q109" s="140">
        <f t="shared" si="47"/>
        <v>1432566.7051666665</v>
      </c>
      <c r="R109" s="140">
        <f t="shared" si="47"/>
        <v>12009118.03516667</v>
      </c>
      <c r="S109" s="140">
        <f t="shared" si="47"/>
        <v>12072721.933833336</v>
      </c>
      <c r="U109" s="140">
        <f t="shared" ref="U109:AG109" si="48">SUM(U66:U108)</f>
        <v>719335.40200000012</v>
      </c>
      <c r="V109" s="140">
        <f t="shared" si="48"/>
        <v>856400.60389999999</v>
      </c>
      <c r="W109" s="140">
        <f t="shared" si="48"/>
        <v>879286.66974999988</v>
      </c>
      <c r="X109" s="140">
        <f t="shared" si="48"/>
        <v>926455.26</v>
      </c>
      <c r="Y109" s="140">
        <f t="shared" si="48"/>
        <v>871837.16625000024</v>
      </c>
      <c r="Z109" s="140">
        <f t="shared" si="48"/>
        <v>1231523.6962499998</v>
      </c>
      <c r="AA109" s="140">
        <f t="shared" si="48"/>
        <v>955393.7537</v>
      </c>
      <c r="AB109" s="140">
        <f t="shared" si="48"/>
        <v>1022085.3537000001</v>
      </c>
      <c r="AC109" s="140">
        <f t="shared" si="48"/>
        <v>1038376.6125</v>
      </c>
      <c r="AD109" s="237">
        <f t="shared" si="48"/>
        <v>1237262.2906500001</v>
      </c>
      <c r="AE109" s="140">
        <f t="shared" si="48"/>
        <v>1271895.2395000001</v>
      </c>
      <c r="AF109" s="140">
        <f t="shared" si="48"/>
        <v>1721300.4577924998</v>
      </c>
      <c r="AG109" s="140">
        <f t="shared" si="48"/>
        <v>12731152.5059925</v>
      </c>
      <c r="AH109" s="259">
        <f t="shared" si="45"/>
        <v>9737956.8087000009</v>
      </c>
      <c r="AI109" s="50">
        <f t="shared" si="44"/>
        <v>1060929.3754993749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U110" s="33"/>
      <c r="V110" s="35"/>
      <c r="W110" s="35"/>
      <c r="X110" s="35"/>
      <c r="Y110" s="35"/>
      <c r="Z110" s="35"/>
      <c r="AA110" s="35"/>
      <c r="AB110" s="35"/>
      <c r="AC110" s="35"/>
      <c r="AD110" s="245"/>
      <c r="AE110" s="35"/>
      <c r="AF110" s="35"/>
      <c r="AG110" s="62"/>
      <c r="AH110" s="259">
        <f t="shared" si="45"/>
        <v>0</v>
      </c>
      <c r="AI110" s="50">
        <f t="shared" si="44"/>
        <v>0</v>
      </c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U111" s="54"/>
      <c r="V111" s="54"/>
      <c r="W111" s="54"/>
      <c r="X111" s="54"/>
      <c r="Y111" s="54"/>
      <c r="Z111" s="54"/>
      <c r="AA111" s="54"/>
      <c r="AB111" s="54"/>
      <c r="AC111" s="54"/>
      <c r="AD111" s="246"/>
      <c r="AE111" s="54"/>
      <c r="AF111" s="54"/>
      <c r="AG111" s="63"/>
      <c r="AH111" s="259">
        <f t="shared" si="45"/>
        <v>0</v>
      </c>
      <c r="AI111" s="50">
        <f t="shared" si="44"/>
        <v>0</v>
      </c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 t="shared" ref="R112:R121" si="49">SUM(F112:Q112)</f>
        <v>539738.13</v>
      </c>
      <c r="S112" s="14">
        <v>516812</v>
      </c>
      <c r="U112" s="122">
        <f t="shared" ref="U112:U117" si="50">+AG112/12</f>
        <v>83333.333333333328</v>
      </c>
      <c r="V112" s="122">
        <f t="shared" ref="V112:V117" si="51">+AG112/12</f>
        <v>83333.333333333328</v>
      </c>
      <c r="W112" s="122">
        <f t="shared" ref="W112:W117" si="52">+AG112/12</f>
        <v>83333.333333333328</v>
      </c>
      <c r="X112" s="122">
        <f t="shared" ref="X112:X117" si="53">+AG112/12</f>
        <v>83333.333333333328</v>
      </c>
      <c r="Y112" s="122">
        <f t="shared" ref="Y112:Y117" si="54">+AG112/12</f>
        <v>83333.333333333328</v>
      </c>
      <c r="Z112" s="122">
        <f t="shared" ref="Z112:Z117" si="55">+AG112/12</f>
        <v>83333.333333333328</v>
      </c>
      <c r="AA112" s="122">
        <f t="shared" ref="AA112:AA117" si="56">+AG112/12</f>
        <v>83333.333333333328</v>
      </c>
      <c r="AB112" s="122">
        <f t="shared" ref="AB112:AB117" si="57">+AG112/12</f>
        <v>83333.333333333328</v>
      </c>
      <c r="AC112" s="122">
        <f t="shared" ref="AC112:AC117" si="58">+AG112/12</f>
        <v>83333.333333333328</v>
      </c>
      <c r="AD112" s="247">
        <f t="shared" ref="AD112:AD117" si="59">+AG112/12</f>
        <v>83333.333333333328</v>
      </c>
      <c r="AE112" s="122">
        <f t="shared" ref="AE112:AE117" si="60">+AG112/12</f>
        <v>83333.333333333328</v>
      </c>
      <c r="AF112" s="122">
        <f t="shared" ref="AF112:AF117" si="61">+AG112/12</f>
        <v>83333.333333333328</v>
      </c>
      <c r="AG112" s="64">
        <v>1000000</v>
      </c>
      <c r="AH112" s="259">
        <f t="shared" si="45"/>
        <v>833333.33333333337</v>
      </c>
      <c r="AI112" s="50">
        <f t="shared" si="44"/>
        <v>83333.333333333328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 t="shared" si="49"/>
        <v>908632.82</v>
      </c>
      <c r="S113" s="17">
        <v>618960</v>
      </c>
      <c r="T113" s="115" t="s">
        <v>118</v>
      </c>
      <c r="U113" s="97">
        <f t="shared" si="50"/>
        <v>62500</v>
      </c>
      <c r="V113" s="97">
        <f t="shared" si="51"/>
        <v>62500</v>
      </c>
      <c r="W113" s="97">
        <f t="shared" si="52"/>
        <v>62500</v>
      </c>
      <c r="X113" s="97">
        <f t="shared" si="53"/>
        <v>62500</v>
      </c>
      <c r="Y113" s="97">
        <f t="shared" si="54"/>
        <v>62500</v>
      </c>
      <c r="Z113" s="97">
        <f t="shared" si="55"/>
        <v>62500</v>
      </c>
      <c r="AA113" s="97">
        <f t="shared" si="56"/>
        <v>62500</v>
      </c>
      <c r="AB113" s="97">
        <f t="shared" si="57"/>
        <v>62500</v>
      </c>
      <c r="AC113" s="97">
        <f t="shared" si="58"/>
        <v>62500</v>
      </c>
      <c r="AD113" s="235">
        <f t="shared" si="59"/>
        <v>62500</v>
      </c>
      <c r="AE113" s="97">
        <f t="shared" si="60"/>
        <v>62500</v>
      </c>
      <c r="AF113" s="97">
        <f t="shared" si="61"/>
        <v>62500</v>
      </c>
      <c r="AG113" s="25">
        <v>750000</v>
      </c>
      <c r="AH113" s="259">
        <f t="shared" si="45"/>
        <v>625000</v>
      </c>
      <c r="AI113" s="50">
        <f t="shared" si="44"/>
        <v>62500</v>
      </c>
    </row>
    <row r="114" spans="1:35">
      <c r="A114" s="15"/>
      <c r="B114" s="15"/>
      <c r="C114" s="17">
        <v>84370</v>
      </c>
      <c r="D114" s="68" t="s">
        <v>45</v>
      </c>
      <c r="E114" s="31"/>
      <c r="F114" s="24">
        <v>11968.43</v>
      </c>
      <c r="G114" s="16">
        <v>4539.54</v>
      </c>
      <c r="H114" s="37">
        <v>26407.89</v>
      </c>
      <c r="I114" s="37">
        <v>41882.559999999998</v>
      </c>
      <c r="J114" s="37">
        <v>12053.61</v>
      </c>
      <c r="K114" s="37">
        <v>22791.84</v>
      </c>
      <c r="L114" s="37">
        <v>12265.81</v>
      </c>
      <c r="M114" s="109">
        <v>18581.05</v>
      </c>
      <c r="N114" s="37">
        <v>11517.22</v>
      </c>
      <c r="O114" s="37">
        <v>7608.32</v>
      </c>
      <c r="P114" s="37">
        <v>5909.07</v>
      </c>
      <c r="Q114" s="25">
        <v>34916.67</v>
      </c>
      <c r="R114" s="25">
        <f t="shared" si="49"/>
        <v>210442.01</v>
      </c>
      <c r="S114" s="17">
        <v>419000</v>
      </c>
      <c r="U114" s="97">
        <f t="shared" si="50"/>
        <v>60833.333333333336</v>
      </c>
      <c r="V114" s="97">
        <f t="shared" si="51"/>
        <v>60833.333333333336</v>
      </c>
      <c r="W114" s="97">
        <f t="shared" si="52"/>
        <v>60833.333333333336</v>
      </c>
      <c r="X114" s="97">
        <f t="shared" si="53"/>
        <v>60833.333333333336</v>
      </c>
      <c r="Y114" s="97">
        <f t="shared" si="54"/>
        <v>60833.333333333336</v>
      </c>
      <c r="Z114" s="97">
        <f t="shared" si="55"/>
        <v>60833.333333333336</v>
      </c>
      <c r="AA114" s="97">
        <f t="shared" si="56"/>
        <v>60833.333333333336</v>
      </c>
      <c r="AB114" s="97">
        <f t="shared" si="57"/>
        <v>60833.333333333336</v>
      </c>
      <c r="AC114" s="97">
        <f t="shared" si="58"/>
        <v>60833.333333333336</v>
      </c>
      <c r="AD114" s="235">
        <f t="shared" si="59"/>
        <v>60833.333333333336</v>
      </c>
      <c r="AE114" s="97">
        <f t="shared" si="60"/>
        <v>60833.333333333336</v>
      </c>
      <c r="AF114" s="97">
        <f t="shared" si="61"/>
        <v>60833.333333333336</v>
      </c>
      <c r="AG114" s="25">
        <v>730000</v>
      </c>
      <c r="AH114" s="259">
        <f t="shared" si="45"/>
        <v>608333.33333333337</v>
      </c>
      <c r="AI114" s="50">
        <f t="shared" si="44"/>
        <v>60833.333333333336</v>
      </c>
    </row>
    <row r="115" spans="1:35">
      <c r="A115" s="15"/>
      <c r="B115" s="15"/>
      <c r="C115" s="17">
        <v>2957.9</v>
      </c>
      <c r="D115" s="68" t="s">
        <v>46</v>
      </c>
      <c r="E115" s="31"/>
      <c r="F115" s="24"/>
      <c r="G115" s="16">
        <v>495.92</v>
      </c>
      <c r="H115" s="37">
        <v>1115</v>
      </c>
      <c r="I115" s="37">
        <v>1240</v>
      </c>
      <c r="J115" s="37"/>
      <c r="K115" s="37"/>
      <c r="L115" s="37"/>
      <c r="M115" s="109">
        <v>87</v>
      </c>
      <c r="N115" s="37"/>
      <c r="O115" s="37"/>
      <c r="P115" s="37">
        <v>533.6</v>
      </c>
      <c r="Q115" s="25">
        <v>1296.67</v>
      </c>
      <c r="R115" s="25">
        <f t="shared" si="49"/>
        <v>4768.1900000000005</v>
      </c>
      <c r="S115" s="17">
        <v>15560</v>
      </c>
      <c r="U115" s="97">
        <f t="shared" si="50"/>
        <v>4166.666666666667</v>
      </c>
      <c r="V115" s="97">
        <f t="shared" si="51"/>
        <v>4166.666666666667</v>
      </c>
      <c r="W115" s="97">
        <f t="shared" si="52"/>
        <v>4166.666666666667</v>
      </c>
      <c r="X115" s="97">
        <f t="shared" si="53"/>
        <v>4166.666666666667</v>
      </c>
      <c r="Y115" s="97">
        <f t="shared" si="54"/>
        <v>4166.666666666667</v>
      </c>
      <c r="Z115" s="97">
        <f t="shared" si="55"/>
        <v>4166.666666666667</v>
      </c>
      <c r="AA115" s="97">
        <f t="shared" si="56"/>
        <v>4166.666666666667</v>
      </c>
      <c r="AB115" s="97">
        <f t="shared" si="57"/>
        <v>4166.666666666667</v>
      </c>
      <c r="AC115" s="97">
        <f t="shared" si="58"/>
        <v>4166.666666666667</v>
      </c>
      <c r="AD115" s="235">
        <f t="shared" si="59"/>
        <v>4166.666666666667</v>
      </c>
      <c r="AE115" s="97">
        <f t="shared" si="60"/>
        <v>4166.666666666667</v>
      </c>
      <c r="AF115" s="97">
        <f t="shared" si="61"/>
        <v>4166.666666666667</v>
      </c>
      <c r="AG115" s="25">
        <v>50000</v>
      </c>
      <c r="AH115" s="259">
        <f t="shared" si="45"/>
        <v>41666.666666666664</v>
      </c>
      <c r="AI115" s="50">
        <f t="shared" si="44"/>
        <v>4166.666666666667</v>
      </c>
    </row>
    <row r="116" spans="1:35">
      <c r="A116" s="15"/>
      <c r="B116" s="15"/>
      <c r="C116" s="17">
        <v>355240.39000000007</v>
      </c>
      <c r="D116" s="83" t="s">
        <v>76</v>
      </c>
      <c r="E116" s="31"/>
      <c r="F116" s="24">
        <v>15832.15</v>
      </c>
      <c r="G116" s="16">
        <v>2456.41</v>
      </c>
      <c r="H116" s="37">
        <v>1950.42</v>
      </c>
      <c r="I116" s="37">
        <v>35058.19</v>
      </c>
      <c r="J116" s="37">
        <v>45300.92</v>
      </c>
      <c r="K116" s="37">
        <v>137178.28</v>
      </c>
      <c r="L116" s="37">
        <v>85127.13</v>
      </c>
      <c r="M116" s="109">
        <v>135600</v>
      </c>
      <c r="N116" s="37">
        <v>78424.5</v>
      </c>
      <c r="O116" s="37">
        <v>24723.200000000001</v>
      </c>
      <c r="P116" s="37">
        <v>10235.209999999999</v>
      </c>
      <c r="Q116" s="25"/>
      <c r="R116" s="25">
        <f t="shared" si="49"/>
        <v>571886.40999999992</v>
      </c>
      <c r="S116" s="17">
        <v>143938</v>
      </c>
      <c r="T116" s="115" t="s">
        <v>119</v>
      </c>
      <c r="U116" s="97">
        <f t="shared" si="50"/>
        <v>50000</v>
      </c>
      <c r="V116" s="97">
        <f t="shared" si="51"/>
        <v>50000</v>
      </c>
      <c r="W116" s="97">
        <f t="shared" si="52"/>
        <v>50000</v>
      </c>
      <c r="X116" s="97">
        <f t="shared" si="53"/>
        <v>50000</v>
      </c>
      <c r="Y116" s="97">
        <f t="shared" si="54"/>
        <v>50000</v>
      </c>
      <c r="Z116" s="97">
        <f t="shared" si="55"/>
        <v>50000</v>
      </c>
      <c r="AA116" s="97">
        <f t="shared" si="56"/>
        <v>50000</v>
      </c>
      <c r="AB116" s="97">
        <f t="shared" si="57"/>
        <v>50000</v>
      </c>
      <c r="AC116" s="97">
        <f t="shared" si="58"/>
        <v>50000</v>
      </c>
      <c r="AD116" s="235">
        <f t="shared" si="59"/>
        <v>50000</v>
      </c>
      <c r="AE116" s="97">
        <f t="shared" si="60"/>
        <v>50000</v>
      </c>
      <c r="AF116" s="97">
        <f t="shared" si="61"/>
        <v>50000</v>
      </c>
      <c r="AG116" s="25">
        <v>600000</v>
      </c>
      <c r="AH116" s="259">
        <f t="shared" si="45"/>
        <v>500000</v>
      </c>
      <c r="AI116" s="50">
        <f t="shared" si="44"/>
        <v>50000</v>
      </c>
    </row>
    <row r="117" spans="1:35">
      <c r="A117" s="15"/>
      <c r="B117" s="15"/>
      <c r="C117" s="17">
        <v>258875.74</v>
      </c>
      <c r="D117" s="68" t="s">
        <v>63</v>
      </c>
      <c r="E117" s="31"/>
      <c r="F117" s="24">
        <v>14758.39</v>
      </c>
      <c r="G117" s="16">
        <v>44347.06</v>
      </c>
      <c r="H117" s="16">
        <v>51910.41</v>
      </c>
      <c r="I117" s="16">
        <v>26277.24</v>
      </c>
      <c r="J117" s="16">
        <v>42845.91</v>
      </c>
      <c r="K117" s="16">
        <v>52709.93</v>
      </c>
      <c r="L117" s="16">
        <v>52814.82</v>
      </c>
      <c r="M117" s="96">
        <v>41682.21</v>
      </c>
      <c r="N117" s="16">
        <v>32316.36</v>
      </c>
      <c r="O117" s="16">
        <v>30908.959999999999</v>
      </c>
      <c r="P117" s="16">
        <v>23327.68</v>
      </c>
      <c r="Q117" s="25">
        <v>69840.58</v>
      </c>
      <c r="R117" s="25">
        <f t="shared" si="49"/>
        <v>483739.55000000005</v>
      </c>
      <c r="S117" s="17">
        <v>838087</v>
      </c>
      <c r="U117" s="97">
        <f t="shared" si="50"/>
        <v>45833.333333333336</v>
      </c>
      <c r="V117" s="97">
        <f t="shared" si="51"/>
        <v>45833.333333333336</v>
      </c>
      <c r="W117" s="97">
        <f t="shared" si="52"/>
        <v>45833.333333333336</v>
      </c>
      <c r="X117" s="97">
        <f t="shared" si="53"/>
        <v>45833.333333333336</v>
      </c>
      <c r="Y117" s="97">
        <f t="shared" si="54"/>
        <v>45833.333333333336</v>
      </c>
      <c r="Z117" s="97">
        <f t="shared" si="55"/>
        <v>45833.333333333336</v>
      </c>
      <c r="AA117" s="97">
        <f t="shared" si="56"/>
        <v>45833.333333333336</v>
      </c>
      <c r="AB117" s="97">
        <f t="shared" si="57"/>
        <v>45833.333333333336</v>
      </c>
      <c r="AC117" s="97">
        <f t="shared" si="58"/>
        <v>45833.333333333336</v>
      </c>
      <c r="AD117" s="235">
        <f t="shared" si="59"/>
        <v>45833.333333333336</v>
      </c>
      <c r="AE117" s="97">
        <f t="shared" si="60"/>
        <v>45833.333333333336</v>
      </c>
      <c r="AF117" s="97">
        <f t="shared" si="61"/>
        <v>45833.333333333336</v>
      </c>
      <c r="AG117" s="25">
        <v>550000</v>
      </c>
      <c r="AH117" s="259">
        <f t="shared" si="45"/>
        <v>458333.33333333326</v>
      </c>
      <c r="AI117" s="50">
        <f t="shared" si="44"/>
        <v>45833.333333333336</v>
      </c>
    </row>
    <row r="118" spans="1:35">
      <c r="A118" s="15"/>
      <c r="B118" s="15"/>
      <c r="C118" s="17">
        <v>375</v>
      </c>
      <c r="D118" s="68" t="s">
        <v>71</v>
      </c>
      <c r="E118" s="31"/>
      <c r="F118" s="24"/>
      <c r="G118" s="16"/>
      <c r="H118" s="16"/>
      <c r="I118" s="16"/>
      <c r="J118" s="16"/>
      <c r="K118" s="16"/>
      <c r="L118" s="16"/>
      <c r="M118" s="96"/>
      <c r="N118" s="16"/>
      <c r="O118" s="16"/>
      <c r="P118" s="16"/>
      <c r="Q118" s="25">
        <v>4166.67</v>
      </c>
      <c r="R118" s="25">
        <f t="shared" si="49"/>
        <v>4166.67</v>
      </c>
      <c r="S118" s="17">
        <v>50000</v>
      </c>
      <c r="U118" s="24"/>
      <c r="V118" s="16"/>
      <c r="W118" s="16"/>
      <c r="X118" s="16"/>
      <c r="Y118" s="16"/>
      <c r="Z118" s="16"/>
      <c r="AA118" s="16"/>
      <c r="AB118" s="96"/>
      <c r="AC118" s="16"/>
      <c r="AD118" s="234"/>
      <c r="AE118" s="16"/>
      <c r="AF118" s="25"/>
      <c r="AG118" s="25">
        <f>SUM(U118:AF118)</f>
        <v>0</v>
      </c>
      <c r="AH118" s="259">
        <f t="shared" si="45"/>
        <v>0</v>
      </c>
      <c r="AI118" s="50">
        <f t="shared" si="44"/>
        <v>0</v>
      </c>
    </row>
    <row r="119" spans="1:35">
      <c r="A119" s="15"/>
      <c r="B119" s="15"/>
      <c r="C119" s="17">
        <v>458955.35000000003</v>
      </c>
      <c r="D119" s="83" t="s">
        <v>75</v>
      </c>
      <c r="E119" s="31"/>
      <c r="F119" s="24">
        <v>16783.22</v>
      </c>
      <c r="G119" s="16"/>
      <c r="H119" s="16"/>
      <c r="I119" s="16"/>
      <c r="J119" s="16"/>
      <c r="K119" s="16"/>
      <c r="L119" s="16"/>
      <c r="M119" s="96"/>
      <c r="N119" s="16"/>
      <c r="O119" s="16"/>
      <c r="P119" s="16"/>
      <c r="Q119" s="25"/>
      <c r="R119" s="25">
        <f t="shared" si="49"/>
        <v>16783.22</v>
      </c>
      <c r="S119" s="17"/>
      <c r="T119" s="115" t="s">
        <v>130</v>
      </c>
      <c r="U119" s="24"/>
      <c r="V119" s="16"/>
      <c r="W119" s="16"/>
      <c r="X119" s="16"/>
      <c r="Y119" s="16"/>
      <c r="Z119" s="16"/>
      <c r="AA119" s="16"/>
      <c r="AB119" s="96"/>
      <c r="AC119" s="16"/>
      <c r="AD119" s="234"/>
      <c r="AE119" s="16"/>
      <c r="AF119" s="25"/>
      <c r="AG119" s="25"/>
      <c r="AH119" s="259">
        <f t="shared" si="45"/>
        <v>0</v>
      </c>
      <c r="AI119" s="50">
        <f t="shared" si="44"/>
        <v>0</v>
      </c>
    </row>
    <row r="120" spans="1:35">
      <c r="A120" s="15"/>
      <c r="B120" s="15"/>
      <c r="C120" s="17">
        <v>156211.03</v>
      </c>
      <c r="D120" s="83" t="s">
        <v>80</v>
      </c>
      <c r="E120" s="31"/>
      <c r="F120" s="24">
        <v>70693.36</v>
      </c>
      <c r="G120" s="16">
        <v>65773.039999999994</v>
      </c>
      <c r="H120" s="16">
        <v>41118.36</v>
      </c>
      <c r="I120" s="16">
        <v>6034</v>
      </c>
      <c r="J120" s="16">
        <v>11336</v>
      </c>
      <c r="K120" s="16"/>
      <c r="L120" s="16"/>
      <c r="M120" s="96"/>
      <c r="N120" s="16"/>
      <c r="O120" s="16"/>
      <c r="P120" s="16"/>
      <c r="Q120" s="25"/>
      <c r="R120" s="25">
        <f t="shared" si="49"/>
        <v>194954.76</v>
      </c>
      <c r="S120" s="17"/>
      <c r="T120" s="115" t="s">
        <v>120</v>
      </c>
      <c r="U120" s="24"/>
      <c r="V120" s="16"/>
      <c r="W120" s="16"/>
      <c r="X120" s="16"/>
      <c r="Y120" s="16"/>
      <c r="Z120" s="16"/>
      <c r="AA120" s="16"/>
      <c r="AB120" s="96"/>
      <c r="AC120" s="16"/>
      <c r="AD120" s="234"/>
      <c r="AE120" s="16"/>
      <c r="AF120" s="25"/>
      <c r="AG120" s="25"/>
      <c r="AH120" s="259">
        <f t="shared" si="45"/>
        <v>0</v>
      </c>
      <c r="AI120" s="50">
        <f t="shared" si="44"/>
        <v>0</v>
      </c>
    </row>
    <row r="121" spans="1:35">
      <c r="A121" s="15"/>
      <c r="B121" s="15"/>
      <c r="C121" s="17"/>
      <c r="D121" s="104" t="s">
        <v>83</v>
      </c>
      <c r="E121" s="69"/>
      <c r="F121" s="39"/>
      <c r="G121" s="16"/>
      <c r="H121" s="16"/>
      <c r="I121" s="16">
        <v>6965</v>
      </c>
      <c r="J121" s="16">
        <v>2941.58</v>
      </c>
      <c r="K121" s="16">
        <v>2877.54</v>
      </c>
      <c r="L121" s="16">
        <v>2771.1</v>
      </c>
      <c r="M121" s="96">
        <v>2663.14</v>
      </c>
      <c r="N121" s="16">
        <v>2553.66</v>
      </c>
      <c r="O121" s="16">
        <v>2442.56</v>
      </c>
      <c r="P121" s="16">
        <v>2329.89</v>
      </c>
      <c r="Q121" s="16">
        <v>2330</v>
      </c>
      <c r="R121" s="25">
        <f t="shared" si="49"/>
        <v>27874.47</v>
      </c>
      <c r="S121" s="17"/>
      <c r="T121" s="115" t="s">
        <v>121</v>
      </c>
      <c r="U121" s="39"/>
      <c r="V121" s="16"/>
      <c r="W121" s="16"/>
      <c r="X121" s="16"/>
      <c r="Y121" s="16"/>
      <c r="Z121" s="16"/>
      <c r="AA121" s="16"/>
      <c r="AB121" s="96"/>
      <c r="AC121" s="16"/>
      <c r="AD121" s="234"/>
      <c r="AE121" s="16"/>
      <c r="AF121" s="16"/>
      <c r="AG121" s="25"/>
      <c r="AH121" s="259">
        <f t="shared" si="45"/>
        <v>0</v>
      </c>
      <c r="AI121" s="50">
        <f t="shared" si="44"/>
        <v>0</v>
      </c>
    </row>
    <row r="122" spans="1:35">
      <c r="A122" s="15"/>
      <c r="B122" s="15"/>
      <c r="C122" s="150">
        <v>2539667.09</v>
      </c>
      <c r="D122" s="147" t="s">
        <v>99</v>
      </c>
      <c r="E122" s="148"/>
      <c r="F122" s="150">
        <f t="shared" ref="F122:R122" si="62">SUM(F112:F121)</f>
        <v>316212.77</v>
      </c>
      <c r="G122" s="150">
        <f t="shared" si="62"/>
        <v>254939.85000000003</v>
      </c>
      <c r="H122" s="150">
        <f t="shared" si="62"/>
        <v>488089.62</v>
      </c>
      <c r="I122" s="150">
        <f t="shared" si="62"/>
        <v>179439.09999999998</v>
      </c>
      <c r="J122" s="150">
        <f t="shared" si="62"/>
        <v>235840.69</v>
      </c>
      <c r="K122" s="150">
        <f t="shared" si="62"/>
        <v>411046.92</v>
      </c>
      <c r="L122" s="150">
        <f t="shared" si="62"/>
        <v>209932.55000000002</v>
      </c>
      <c r="M122" s="150">
        <f>SUM(M112:M121)</f>
        <v>235401.23</v>
      </c>
      <c r="N122" s="150">
        <f t="shared" si="62"/>
        <v>192453.28</v>
      </c>
      <c r="O122" s="150">
        <f t="shared" si="62"/>
        <v>155537</v>
      </c>
      <c r="P122" s="150">
        <f t="shared" si="62"/>
        <v>80269.960000000006</v>
      </c>
      <c r="Q122" s="150">
        <f t="shared" si="62"/>
        <v>203823.26</v>
      </c>
      <c r="R122" s="150">
        <f t="shared" si="62"/>
        <v>2962986.23</v>
      </c>
      <c r="S122" s="150">
        <f>SUM(S112:S121)</f>
        <v>2602357</v>
      </c>
      <c r="U122" s="150">
        <f>+AG122/12</f>
        <v>306666.66666666669</v>
      </c>
      <c r="V122" s="150">
        <f>+AG122/12</f>
        <v>306666.66666666669</v>
      </c>
      <c r="W122" s="150">
        <f>+AG122/12</f>
        <v>306666.66666666669</v>
      </c>
      <c r="X122" s="150">
        <v>270833</v>
      </c>
      <c r="Y122" s="150">
        <v>270833</v>
      </c>
      <c r="Z122" s="150">
        <v>270833</v>
      </c>
      <c r="AA122" s="150">
        <v>270833</v>
      </c>
      <c r="AB122" s="150">
        <v>270833</v>
      </c>
      <c r="AC122" s="150">
        <v>270833</v>
      </c>
      <c r="AD122" s="248">
        <v>270833</v>
      </c>
      <c r="AE122" s="150">
        <v>270833</v>
      </c>
      <c r="AF122" s="150">
        <v>270833</v>
      </c>
      <c r="AG122" s="150">
        <f>SUM(AG112:AG121)</f>
        <v>3680000</v>
      </c>
      <c r="AH122" s="150">
        <f>SUM(AH112:AH121)</f>
        <v>3066666.666666667</v>
      </c>
      <c r="AI122" s="50">
        <f t="shared" si="44"/>
        <v>306666.66666666669</v>
      </c>
    </row>
    <row r="123" spans="1:35" ht="21.75" customHeight="1">
      <c r="A123" s="15"/>
      <c r="B123" s="15"/>
      <c r="C123" s="151">
        <v>13925299.265999999</v>
      </c>
      <c r="D123" s="152" t="s">
        <v>48</v>
      </c>
      <c r="E123" s="152"/>
      <c r="F123" s="151">
        <f t="shared" ref="F123:S123" si="63">+F62+F109+F122</f>
        <v>1146660.8500000001</v>
      </c>
      <c r="G123" s="151">
        <f t="shared" si="63"/>
        <v>1004561.8800000001</v>
      </c>
      <c r="H123" s="151">
        <f t="shared" si="63"/>
        <v>1422435.63</v>
      </c>
      <c r="I123" s="151">
        <f t="shared" si="63"/>
        <v>1076881.3799999999</v>
      </c>
      <c r="J123" s="151">
        <f t="shared" si="63"/>
        <v>1252917.67</v>
      </c>
      <c r="K123" s="151">
        <f t="shared" si="63"/>
        <v>1505756.67</v>
      </c>
      <c r="L123" s="151">
        <f t="shared" si="63"/>
        <v>1334539.33</v>
      </c>
      <c r="M123" s="151">
        <f t="shared" si="63"/>
        <v>1149430.76</v>
      </c>
      <c r="N123" s="151">
        <f t="shared" si="63"/>
        <v>1331173.7000000004</v>
      </c>
      <c r="O123" s="151">
        <f t="shared" si="63"/>
        <v>1330156.6499999999</v>
      </c>
      <c r="P123" s="151">
        <f t="shared" si="63"/>
        <v>1429980.6299999997</v>
      </c>
      <c r="Q123" s="151">
        <f t="shared" si="63"/>
        <v>1755710.5155</v>
      </c>
      <c r="R123" s="153">
        <f t="shared" si="63"/>
        <v>15740205.665500004</v>
      </c>
      <c r="S123" s="153">
        <f t="shared" si="63"/>
        <v>15435962.933833336</v>
      </c>
      <c r="T123" s="136"/>
      <c r="U123" s="151">
        <f t="shared" ref="U123:AH123" si="64">+U62+U109+U122</f>
        <v>1078543.8086666667</v>
      </c>
      <c r="V123" s="151">
        <f t="shared" si="64"/>
        <v>1234720.8105666668</v>
      </c>
      <c r="W123" s="151">
        <f t="shared" si="64"/>
        <v>1242555.1009166667</v>
      </c>
      <c r="X123" s="151">
        <f t="shared" si="64"/>
        <v>1269035.5334999999</v>
      </c>
      <c r="Y123" s="151">
        <f t="shared" si="64"/>
        <v>1196639.4862500001</v>
      </c>
      <c r="Z123" s="151">
        <f t="shared" si="64"/>
        <v>1585583.9767499999</v>
      </c>
      <c r="AA123" s="151">
        <f t="shared" si="64"/>
        <v>1285640.9956999999</v>
      </c>
      <c r="AB123" s="151">
        <f t="shared" si="64"/>
        <v>1371382.5192</v>
      </c>
      <c r="AC123" s="151">
        <f t="shared" si="64"/>
        <v>1367112.6525000001</v>
      </c>
      <c r="AD123" s="238">
        <f t="shared" si="64"/>
        <v>1573107.5491500001</v>
      </c>
      <c r="AE123" s="151">
        <f t="shared" si="64"/>
        <v>1600759.7785000002</v>
      </c>
      <c r="AF123" s="151">
        <f t="shared" si="64"/>
        <v>2134074.7132925</v>
      </c>
      <c r="AG123" s="153">
        <f t="shared" si="64"/>
        <v>17261659.924992502</v>
      </c>
      <c r="AH123" s="151">
        <f t="shared" si="64"/>
        <v>13455158.09986667</v>
      </c>
      <c r="AI123" s="50">
        <f t="shared" si="44"/>
        <v>1438471.6604160417</v>
      </c>
    </row>
    <row r="124" spans="1:35" ht="9.75" customHeight="1">
      <c r="A124" s="15"/>
      <c r="B124" s="15"/>
      <c r="C124" s="41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111"/>
      <c r="S124" s="111"/>
      <c r="U124" s="41"/>
      <c r="V124" s="41"/>
      <c r="W124" s="41"/>
      <c r="X124" s="41"/>
      <c r="Y124" s="41"/>
      <c r="Z124" s="41"/>
      <c r="AA124" s="41"/>
      <c r="AB124" s="41"/>
      <c r="AC124" s="41"/>
      <c r="AD124" s="238"/>
      <c r="AE124" s="41"/>
      <c r="AF124" s="41"/>
      <c r="AG124" s="111"/>
      <c r="AH124" s="259">
        <f t="shared" si="45"/>
        <v>0</v>
      </c>
      <c r="AI124" s="50">
        <f t="shared" si="44"/>
        <v>0</v>
      </c>
    </row>
    <row r="125" spans="1:35" ht="18.75" customHeight="1">
      <c r="A125" s="15"/>
      <c r="B125" s="15"/>
      <c r="C125" s="133">
        <f>+C44-C123</f>
        <v>-647550.71600000001</v>
      </c>
      <c r="D125" s="134" t="s">
        <v>100</v>
      </c>
      <c r="E125" s="134"/>
      <c r="F125" s="133" t="e">
        <f t="shared" ref="F125:S125" si="65">+F44-F123</f>
        <v>#REF!</v>
      </c>
      <c r="G125" s="133" t="e">
        <f t="shared" si="65"/>
        <v>#REF!</v>
      </c>
      <c r="H125" s="133" t="e">
        <f t="shared" si="65"/>
        <v>#REF!</v>
      </c>
      <c r="I125" s="133" t="e">
        <f t="shared" si="65"/>
        <v>#REF!</v>
      </c>
      <c r="J125" s="133" t="e">
        <f t="shared" si="65"/>
        <v>#REF!</v>
      </c>
      <c r="K125" s="133" t="e">
        <f t="shared" si="65"/>
        <v>#REF!</v>
      </c>
      <c r="L125" s="133" t="e">
        <f t="shared" si="65"/>
        <v>#REF!</v>
      </c>
      <c r="M125" s="133" t="e">
        <f t="shared" si="65"/>
        <v>#REF!</v>
      </c>
      <c r="N125" s="133" t="e">
        <f t="shared" si="65"/>
        <v>#REF!</v>
      </c>
      <c r="O125" s="133" t="e">
        <f t="shared" si="65"/>
        <v>#REF!</v>
      </c>
      <c r="P125" s="133" t="e">
        <f t="shared" si="65"/>
        <v>#REF!</v>
      </c>
      <c r="Q125" s="133" t="e">
        <f t="shared" si="65"/>
        <v>#REF!</v>
      </c>
      <c r="R125" s="135">
        <f t="shared" si="65"/>
        <v>2372794.9444999993</v>
      </c>
      <c r="S125" s="135">
        <f t="shared" si="65"/>
        <v>-1811670.5838333368</v>
      </c>
      <c r="U125" s="133">
        <f t="shared" ref="U125:AG125" si="66">+U44-U123</f>
        <v>2685497.858</v>
      </c>
      <c r="V125" s="133">
        <f t="shared" si="66"/>
        <v>2529320.8561000004</v>
      </c>
      <c r="W125" s="133">
        <f t="shared" si="66"/>
        <v>2521486.5657500001</v>
      </c>
      <c r="X125" s="133">
        <f t="shared" si="66"/>
        <v>2436672.7998333331</v>
      </c>
      <c r="Y125" s="133">
        <f t="shared" si="66"/>
        <v>2509068.8470833329</v>
      </c>
      <c r="Z125" s="133">
        <f t="shared" si="66"/>
        <v>2120124.3565833331</v>
      </c>
      <c r="AA125" s="133">
        <f t="shared" si="66"/>
        <v>2420067.3376333332</v>
      </c>
      <c r="AB125" s="133">
        <f t="shared" si="66"/>
        <v>2334325.814133333</v>
      </c>
      <c r="AC125" s="133">
        <f t="shared" si="66"/>
        <v>2338595.6808333332</v>
      </c>
      <c r="AD125" s="238">
        <f t="shared" si="66"/>
        <v>2132600.7841833327</v>
      </c>
      <c r="AE125" s="133">
        <f t="shared" si="66"/>
        <v>2104948.554833333</v>
      </c>
      <c r="AF125" s="133">
        <f t="shared" si="66"/>
        <v>1571633.620040833</v>
      </c>
      <c r="AG125" s="135">
        <f t="shared" si="66"/>
        <v>27906840.075007498</v>
      </c>
      <c r="AH125" s="133">
        <f>+AH44-AH123</f>
        <v>23776925.233466659</v>
      </c>
      <c r="AI125" s="50">
        <f t="shared" si="44"/>
        <v>2325570.006250625</v>
      </c>
    </row>
    <row r="126" spans="1:35" ht="9.75" customHeight="1">
      <c r="A126" s="15"/>
      <c r="B126" s="15"/>
      <c r="C126" s="41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111"/>
      <c r="S126" s="111"/>
      <c r="U126" s="41"/>
      <c r="V126" s="41"/>
      <c r="W126" s="41"/>
      <c r="X126" s="41"/>
      <c r="Y126" s="41"/>
      <c r="Z126" s="41"/>
      <c r="AA126" s="41"/>
      <c r="AB126" s="41"/>
      <c r="AC126" s="41"/>
      <c r="AD126" s="238"/>
      <c r="AE126" s="41"/>
      <c r="AF126" s="41"/>
      <c r="AG126" s="111"/>
      <c r="AH126" s="259">
        <f t="shared" si="45"/>
        <v>0</v>
      </c>
      <c r="AI126" s="50">
        <f t="shared" si="44"/>
        <v>0</v>
      </c>
    </row>
    <row r="127" spans="1:35" ht="18.75" customHeight="1">
      <c r="A127" s="15"/>
      <c r="B127" s="15"/>
      <c r="C127" s="41"/>
      <c r="D127" s="119" t="s">
        <v>318</v>
      </c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U127" s="41"/>
      <c r="V127" s="41"/>
      <c r="W127" s="41"/>
      <c r="X127" s="41"/>
      <c r="Y127" s="41"/>
      <c r="Z127" s="41"/>
      <c r="AA127" s="41"/>
      <c r="AB127" s="41"/>
      <c r="AC127" s="41"/>
      <c r="AD127" s="238"/>
      <c r="AE127" s="41"/>
      <c r="AF127" s="41"/>
      <c r="AG127" s="111"/>
      <c r="AH127" s="259">
        <f t="shared" si="45"/>
        <v>0</v>
      </c>
      <c r="AI127" s="50">
        <f t="shared" si="44"/>
        <v>0</v>
      </c>
    </row>
    <row r="128" spans="1:35" ht="18.75" customHeight="1">
      <c r="A128" s="15"/>
      <c r="B128" s="15">
        <v>1</v>
      </c>
      <c r="C128" s="122">
        <v>411735.64</v>
      </c>
      <c r="D128" s="120" t="s">
        <v>109</v>
      </c>
      <c r="E128" s="123"/>
      <c r="F128" s="122"/>
      <c r="G128" s="122"/>
      <c r="H128" s="122"/>
      <c r="I128" s="122"/>
      <c r="J128" s="122"/>
      <c r="K128" s="122"/>
      <c r="L128" s="122">
        <v>50.8</v>
      </c>
      <c r="M128" s="122"/>
      <c r="N128" s="122"/>
      <c r="O128" s="122"/>
      <c r="P128" s="122"/>
      <c r="Q128" s="122"/>
      <c r="R128" s="64">
        <f>SUM(F128:Q128)</f>
        <v>50.8</v>
      </c>
      <c r="S128" s="122"/>
      <c r="U128" s="122">
        <f>+AG128/12</f>
        <v>36928.666666666664</v>
      </c>
      <c r="V128" s="122">
        <f>+AG128/12</f>
        <v>36928.666666666664</v>
      </c>
      <c r="W128" s="122">
        <f>+AG128/12</f>
        <v>36928.666666666664</v>
      </c>
      <c r="X128" s="122">
        <f>+AG128/12</f>
        <v>36928.666666666664</v>
      </c>
      <c r="Y128" s="122">
        <f>+AG128/12</f>
        <v>36928.666666666664</v>
      </c>
      <c r="Z128" s="122">
        <f>+AG128/12</f>
        <v>36928.666666666664</v>
      </c>
      <c r="AA128" s="122">
        <f>+AG128/12</f>
        <v>36928.666666666664</v>
      </c>
      <c r="AB128" s="122">
        <f>+AG128/12</f>
        <v>36928.666666666664</v>
      </c>
      <c r="AC128" s="122">
        <f>+AG128/12</f>
        <v>36928.666666666664</v>
      </c>
      <c r="AD128" s="247">
        <f>+AG128/12</f>
        <v>36928.666666666664</v>
      </c>
      <c r="AE128" s="122">
        <f>+AG128/12</f>
        <v>36928.666666666664</v>
      </c>
      <c r="AF128" s="122">
        <f>+AG128/12</f>
        <v>36928.666666666664</v>
      </c>
      <c r="AG128" s="64">
        <v>443144</v>
      </c>
      <c r="AH128" s="259">
        <f t="shared" si="45"/>
        <v>369286.66666666669</v>
      </c>
      <c r="AI128" s="50">
        <f t="shared" si="44"/>
        <v>36928.666666666664</v>
      </c>
    </row>
    <row r="129" spans="1:35" ht="18.75" customHeight="1">
      <c r="A129" s="15"/>
      <c r="B129" s="15">
        <v>2</v>
      </c>
      <c r="C129" s="97"/>
      <c r="D129" s="121" t="s">
        <v>305</v>
      </c>
      <c r="E129" s="124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25"/>
      <c r="S129" s="97"/>
      <c r="U129" s="97">
        <f>+AG129/12</f>
        <v>66729.166666666672</v>
      </c>
      <c r="V129" s="97">
        <f>+AG129/12</f>
        <v>66729.166666666672</v>
      </c>
      <c r="W129" s="97">
        <f>+AG129/12</f>
        <v>66729.166666666672</v>
      </c>
      <c r="X129" s="97">
        <f>+AG129/12</f>
        <v>66729.166666666672</v>
      </c>
      <c r="Y129" s="97">
        <f>+AG129/12</f>
        <v>66729.166666666672</v>
      </c>
      <c r="Z129" s="97">
        <f>+AG129/12</f>
        <v>66729.166666666672</v>
      </c>
      <c r="AA129" s="97">
        <f>+AG129/12</f>
        <v>66729.166666666672</v>
      </c>
      <c r="AB129" s="97">
        <f>+AG129/12</f>
        <v>66729.166666666672</v>
      </c>
      <c r="AC129" s="97">
        <f>+AG129/12</f>
        <v>66729.166666666672</v>
      </c>
      <c r="AD129" s="235">
        <f>+AG129/12</f>
        <v>66729.166666666672</v>
      </c>
      <c r="AE129" s="97">
        <f>+AG129/12</f>
        <v>66729.166666666672</v>
      </c>
      <c r="AF129" s="97">
        <f>+AG129/12</f>
        <v>66729.166666666672</v>
      </c>
      <c r="AG129" s="25">
        <v>800750</v>
      </c>
      <c r="AH129" s="259">
        <f t="shared" si="45"/>
        <v>667291.66666666663</v>
      </c>
      <c r="AI129" s="50">
        <f t="shared" si="44"/>
        <v>66729.166666666672</v>
      </c>
    </row>
    <row r="130" spans="1:35" ht="18.75" customHeight="1">
      <c r="A130" s="15"/>
      <c r="B130" s="15">
        <v>3</v>
      </c>
      <c r="C130" s="97"/>
      <c r="D130" s="121" t="s">
        <v>144</v>
      </c>
      <c r="E130" s="124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25"/>
      <c r="S130" s="97"/>
      <c r="U130" s="97">
        <f t="shared" ref="U130:U142" si="67">+AG130/12</f>
        <v>159418.83333333334</v>
      </c>
      <c r="V130" s="97">
        <f t="shared" ref="V130:V142" si="68">+AG130/12</f>
        <v>159418.83333333334</v>
      </c>
      <c r="W130" s="97">
        <f t="shared" ref="W130:W142" si="69">+AG130/12</f>
        <v>159418.83333333334</v>
      </c>
      <c r="X130" s="97">
        <f t="shared" ref="X130:X142" si="70">+AG130/12</f>
        <v>159418.83333333334</v>
      </c>
      <c r="Y130" s="97">
        <f t="shared" ref="Y130:Y142" si="71">+AG130/12</f>
        <v>159418.83333333334</v>
      </c>
      <c r="Z130" s="97">
        <f t="shared" ref="Z130:Z142" si="72">+AG130/12</f>
        <v>159418.83333333334</v>
      </c>
      <c r="AA130" s="97">
        <f t="shared" ref="AA130:AA142" si="73">+AG130/12</f>
        <v>159418.83333333334</v>
      </c>
      <c r="AB130" s="97">
        <f t="shared" ref="AB130:AB142" si="74">+AG130/12</f>
        <v>159418.83333333334</v>
      </c>
      <c r="AC130" s="97">
        <f t="shared" ref="AC130:AC142" si="75">+AG130/12</f>
        <v>159418.83333333334</v>
      </c>
      <c r="AD130" s="235">
        <f t="shared" ref="AD130:AD142" si="76">+AG130/12</f>
        <v>159418.83333333334</v>
      </c>
      <c r="AE130" s="97">
        <f t="shared" ref="AE130:AE142" si="77">+AG130/12</f>
        <v>159418.83333333334</v>
      </c>
      <c r="AF130" s="97">
        <f t="shared" ref="AF130:AF142" si="78">+AG130/12</f>
        <v>159418.83333333334</v>
      </c>
      <c r="AG130" s="25">
        <v>1913026</v>
      </c>
      <c r="AH130" s="259">
        <f t="shared" si="45"/>
        <v>1594188.3333333333</v>
      </c>
      <c r="AI130" s="50">
        <f t="shared" si="44"/>
        <v>159418.83333333334</v>
      </c>
    </row>
    <row r="131" spans="1:35" ht="18.75" customHeight="1">
      <c r="A131" s="15"/>
      <c r="B131" s="15">
        <v>4</v>
      </c>
      <c r="C131" s="97"/>
      <c r="D131" s="121" t="s">
        <v>306</v>
      </c>
      <c r="E131" s="124"/>
      <c r="F131" s="97"/>
      <c r="G131" s="97"/>
      <c r="H131" s="97"/>
      <c r="I131" s="97"/>
      <c r="J131" s="97"/>
      <c r="K131" s="97"/>
      <c r="L131" s="97">
        <v>20750</v>
      </c>
      <c r="M131" s="97">
        <v>3100</v>
      </c>
      <c r="N131" s="97">
        <v>19585.599999999999</v>
      </c>
      <c r="O131" s="97">
        <v>66261.83</v>
      </c>
      <c r="P131" s="97">
        <v>17896.759999999998</v>
      </c>
      <c r="Q131" s="97"/>
      <c r="R131" s="25">
        <f>SUM(F131:Q131)</f>
        <v>127594.18999999999</v>
      </c>
      <c r="S131" s="97"/>
      <c r="U131" s="97">
        <f t="shared" si="67"/>
        <v>36240.416666666664</v>
      </c>
      <c r="V131" s="97">
        <f t="shared" si="68"/>
        <v>36240.416666666664</v>
      </c>
      <c r="W131" s="97">
        <f t="shared" si="69"/>
        <v>36240.416666666664</v>
      </c>
      <c r="X131" s="97">
        <f t="shared" si="70"/>
        <v>36240.416666666664</v>
      </c>
      <c r="Y131" s="97">
        <f t="shared" si="71"/>
        <v>36240.416666666664</v>
      </c>
      <c r="Z131" s="97">
        <f t="shared" si="72"/>
        <v>36240.416666666664</v>
      </c>
      <c r="AA131" s="97">
        <f t="shared" si="73"/>
        <v>36240.416666666664</v>
      </c>
      <c r="AB131" s="97">
        <f t="shared" si="74"/>
        <v>36240.416666666664</v>
      </c>
      <c r="AC131" s="97">
        <f t="shared" si="75"/>
        <v>36240.416666666664</v>
      </c>
      <c r="AD131" s="235">
        <f t="shared" si="76"/>
        <v>36240.416666666664</v>
      </c>
      <c r="AE131" s="97">
        <f t="shared" si="77"/>
        <v>36240.416666666664</v>
      </c>
      <c r="AF131" s="97">
        <f t="shared" si="78"/>
        <v>36240.416666666664</v>
      </c>
      <c r="AG131" s="25">
        <v>434885</v>
      </c>
      <c r="AH131" s="259">
        <f t="shared" si="45"/>
        <v>362404.16666666669</v>
      </c>
      <c r="AI131" s="50">
        <f t="shared" si="44"/>
        <v>36240.416666666664</v>
      </c>
    </row>
    <row r="132" spans="1:35" ht="18.75" customHeight="1">
      <c r="A132" s="15"/>
      <c r="B132" s="15">
        <v>5</v>
      </c>
      <c r="C132" s="97">
        <v>49316.99</v>
      </c>
      <c r="D132" s="121" t="s">
        <v>105</v>
      </c>
      <c r="E132" s="124"/>
      <c r="F132" s="97"/>
      <c r="G132" s="97"/>
      <c r="H132" s="97">
        <v>50000</v>
      </c>
      <c r="I132" s="97">
        <v>121418.88</v>
      </c>
      <c r="J132" s="97">
        <v>141928.92000000001</v>
      </c>
      <c r="K132" s="97">
        <v>72170.75</v>
      </c>
      <c r="L132" s="97">
        <v>350858.35</v>
      </c>
      <c r="M132" s="97">
        <v>430868.94</v>
      </c>
      <c r="N132" s="97">
        <v>496553.14</v>
      </c>
      <c r="O132" s="97">
        <v>239531.45</v>
      </c>
      <c r="P132" s="97">
        <v>350748.27</v>
      </c>
      <c r="Q132" s="97"/>
      <c r="R132" s="25">
        <f>SUM(F132:Q132)</f>
        <v>2254078.7000000002</v>
      </c>
      <c r="S132" s="97"/>
      <c r="U132" s="97">
        <f t="shared" si="67"/>
        <v>423571.16666666669</v>
      </c>
      <c r="V132" s="97">
        <f t="shared" si="68"/>
        <v>423571.16666666669</v>
      </c>
      <c r="W132" s="97">
        <f t="shared" si="69"/>
        <v>423571.16666666669</v>
      </c>
      <c r="X132" s="97">
        <f t="shared" si="70"/>
        <v>423571.16666666669</v>
      </c>
      <c r="Y132" s="97">
        <f t="shared" si="71"/>
        <v>423571.16666666669</v>
      </c>
      <c r="Z132" s="97">
        <f t="shared" si="72"/>
        <v>423571.16666666669</v>
      </c>
      <c r="AA132" s="97">
        <f t="shared" si="73"/>
        <v>423571.16666666669</v>
      </c>
      <c r="AB132" s="97">
        <f t="shared" si="74"/>
        <v>423571.16666666669</v>
      </c>
      <c r="AC132" s="97">
        <f t="shared" si="75"/>
        <v>423571.16666666669</v>
      </c>
      <c r="AD132" s="235">
        <f t="shared" si="76"/>
        <v>423571.16666666669</v>
      </c>
      <c r="AE132" s="97">
        <f t="shared" si="77"/>
        <v>423571.16666666669</v>
      </c>
      <c r="AF132" s="97">
        <f t="shared" si="78"/>
        <v>423571.16666666669</v>
      </c>
      <c r="AG132" s="25">
        <v>5082854</v>
      </c>
      <c r="AH132" s="259">
        <f t="shared" si="45"/>
        <v>4235711.666666666</v>
      </c>
      <c r="AI132" s="50">
        <f t="shared" si="44"/>
        <v>423571.16666666669</v>
      </c>
    </row>
    <row r="133" spans="1:35" ht="18.75" customHeight="1">
      <c r="A133" s="15"/>
      <c r="B133" s="15">
        <v>6</v>
      </c>
      <c r="C133" s="97"/>
      <c r="D133" s="121" t="s">
        <v>307</v>
      </c>
      <c r="E133" s="124"/>
      <c r="F133" s="97"/>
      <c r="G133" s="97"/>
      <c r="H133" s="97"/>
      <c r="I133" s="97"/>
      <c r="J133" s="97"/>
      <c r="K133" s="97">
        <v>5603.45</v>
      </c>
      <c r="L133" s="97">
        <v>23218.2</v>
      </c>
      <c r="M133" s="97"/>
      <c r="N133" s="97"/>
      <c r="O133" s="97"/>
      <c r="P133" s="97"/>
      <c r="Q133" s="97"/>
      <c r="R133" s="25">
        <f>SUM(F133:Q133)</f>
        <v>28821.65</v>
      </c>
      <c r="S133" s="97"/>
      <c r="U133" s="97">
        <f t="shared" si="67"/>
        <v>107122.25</v>
      </c>
      <c r="V133" s="97">
        <f t="shared" si="68"/>
        <v>107122.25</v>
      </c>
      <c r="W133" s="97">
        <f t="shared" si="69"/>
        <v>107122.25</v>
      </c>
      <c r="X133" s="97">
        <f t="shared" si="70"/>
        <v>107122.25</v>
      </c>
      <c r="Y133" s="97">
        <f t="shared" si="71"/>
        <v>107122.25</v>
      </c>
      <c r="Z133" s="97">
        <f t="shared" si="72"/>
        <v>107122.25</v>
      </c>
      <c r="AA133" s="97">
        <f t="shared" si="73"/>
        <v>107122.25</v>
      </c>
      <c r="AB133" s="97">
        <f t="shared" si="74"/>
        <v>107122.25</v>
      </c>
      <c r="AC133" s="97">
        <f t="shared" si="75"/>
        <v>107122.25</v>
      </c>
      <c r="AD133" s="235">
        <f t="shared" si="76"/>
        <v>107122.25</v>
      </c>
      <c r="AE133" s="97">
        <f t="shared" si="77"/>
        <v>107122.25</v>
      </c>
      <c r="AF133" s="97">
        <f t="shared" si="78"/>
        <v>107122.25</v>
      </c>
      <c r="AG133" s="25">
        <v>1285467</v>
      </c>
      <c r="AH133" s="259">
        <f t="shared" si="45"/>
        <v>1071222.5</v>
      </c>
      <c r="AI133" s="50">
        <f t="shared" si="44"/>
        <v>107122.25</v>
      </c>
    </row>
    <row r="134" spans="1:35" ht="18.75" customHeight="1">
      <c r="A134" s="15"/>
      <c r="B134" s="15">
        <v>7</v>
      </c>
      <c r="C134" s="97"/>
      <c r="D134" s="121" t="s">
        <v>145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25"/>
      <c r="S134" s="97"/>
      <c r="U134" s="97">
        <f t="shared" si="67"/>
        <v>294287.75</v>
      </c>
      <c r="V134" s="97">
        <f t="shared" si="68"/>
        <v>294287.75</v>
      </c>
      <c r="W134" s="97">
        <f t="shared" si="69"/>
        <v>294287.75</v>
      </c>
      <c r="X134" s="97">
        <f t="shared" si="70"/>
        <v>294287.75</v>
      </c>
      <c r="Y134" s="97">
        <f t="shared" si="71"/>
        <v>294287.75</v>
      </c>
      <c r="Z134" s="97">
        <f t="shared" si="72"/>
        <v>294287.75</v>
      </c>
      <c r="AA134" s="97">
        <f t="shared" si="73"/>
        <v>294287.75</v>
      </c>
      <c r="AB134" s="97">
        <f t="shared" si="74"/>
        <v>294287.75</v>
      </c>
      <c r="AC134" s="97">
        <f t="shared" si="75"/>
        <v>294287.75</v>
      </c>
      <c r="AD134" s="235">
        <f t="shared" si="76"/>
        <v>294287.75</v>
      </c>
      <c r="AE134" s="97">
        <f t="shared" si="77"/>
        <v>294287.75</v>
      </c>
      <c r="AF134" s="97">
        <f t="shared" si="78"/>
        <v>294287.75</v>
      </c>
      <c r="AG134" s="25">
        <v>3531453</v>
      </c>
      <c r="AH134" s="259">
        <f t="shared" si="45"/>
        <v>2942877.5</v>
      </c>
      <c r="AI134" s="50">
        <f t="shared" si="44"/>
        <v>294287.75</v>
      </c>
    </row>
    <row r="135" spans="1:35" ht="18.75" customHeight="1">
      <c r="A135" s="15"/>
      <c r="B135" s="15">
        <v>8</v>
      </c>
      <c r="C135" s="97"/>
      <c r="D135" s="121" t="s">
        <v>308</v>
      </c>
      <c r="E135" s="124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25"/>
      <c r="S135" s="97"/>
      <c r="U135" s="97">
        <f t="shared" si="67"/>
        <v>111271.91666666667</v>
      </c>
      <c r="V135" s="97">
        <f t="shared" si="68"/>
        <v>111271.91666666667</v>
      </c>
      <c r="W135" s="97">
        <f t="shared" si="69"/>
        <v>111271.91666666667</v>
      </c>
      <c r="X135" s="97">
        <f t="shared" si="70"/>
        <v>111271.91666666667</v>
      </c>
      <c r="Y135" s="97">
        <f t="shared" si="71"/>
        <v>111271.91666666667</v>
      </c>
      <c r="Z135" s="97">
        <f t="shared" si="72"/>
        <v>111271.91666666667</v>
      </c>
      <c r="AA135" s="97">
        <f t="shared" si="73"/>
        <v>111271.91666666667</v>
      </c>
      <c r="AB135" s="97">
        <f t="shared" si="74"/>
        <v>111271.91666666667</v>
      </c>
      <c r="AC135" s="97">
        <f t="shared" si="75"/>
        <v>111271.91666666667</v>
      </c>
      <c r="AD135" s="235">
        <f t="shared" si="76"/>
        <v>111271.91666666667</v>
      </c>
      <c r="AE135" s="97">
        <f t="shared" si="77"/>
        <v>111271.91666666667</v>
      </c>
      <c r="AF135" s="97">
        <f t="shared" si="78"/>
        <v>111271.91666666667</v>
      </c>
      <c r="AG135" s="25">
        <v>1335263</v>
      </c>
      <c r="AH135" s="259">
        <f t="shared" si="45"/>
        <v>1112719.1666666665</v>
      </c>
      <c r="AI135" s="50">
        <f t="shared" si="44"/>
        <v>111271.91666666667</v>
      </c>
    </row>
    <row r="136" spans="1:35" ht="18.75" customHeight="1">
      <c r="A136" s="15"/>
      <c r="B136" s="15">
        <v>9</v>
      </c>
      <c r="C136" s="97"/>
      <c r="D136" s="121" t="s">
        <v>309</v>
      </c>
      <c r="E136" s="124"/>
      <c r="F136" s="97"/>
      <c r="G136" s="97"/>
      <c r="H136" s="97"/>
      <c r="I136" s="97"/>
      <c r="J136" s="97"/>
      <c r="K136" s="97"/>
      <c r="L136" s="97"/>
      <c r="M136" s="97"/>
      <c r="N136" s="97">
        <v>46836.35</v>
      </c>
      <c r="O136" s="97">
        <v>58023.78</v>
      </c>
      <c r="P136" s="97">
        <v>36868.199999999997</v>
      </c>
      <c r="Q136" s="97"/>
      <c r="R136" s="25">
        <f>SUM(F136:Q136)</f>
        <v>141728.33000000002</v>
      </c>
      <c r="S136" s="97"/>
      <c r="U136" s="97">
        <f t="shared" si="67"/>
        <v>166948.08333333334</v>
      </c>
      <c r="V136" s="97">
        <f t="shared" si="68"/>
        <v>166948.08333333334</v>
      </c>
      <c r="W136" s="97">
        <f t="shared" si="69"/>
        <v>166948.08333333334</v>
      </c>
      <c r="X136" s="97">
        <f t="shared" si="70"/>
        <v>166948.08333333334</v>
      </c>
      <c r="Y136" s="97">
        <f t="shared" si="71"/>
        <v>166948.08333333334</v>
      </c>
      <c r="Z136" s="97">
        <f t="shared" si="72"/>
        <v>166948.08333333334</v>
      </c>
      <c r="AA136" s="97">
        <f t="shared" si="73"/>
        <v>166948.08333333334</v>
      </c>
      <c r="AB136" s="97">
        <f t="shared" si="74"/>
        <v>166948.08333333334</v>
      </c>
      <c r="AC136" s="97">
        <f t="shared" si="75"/>
        <v>166948.08333333334</v>
      </c>
      <c r="AD136" s="235">
        <f t="shared" si="76"/>
        <v>166948.08333333334</v>
      </c>
      <c r="AE136" s="97">
        <f t="shared" si="77"/>
        <v>166948.08333333334</v>
      </c>
      <c r="AF136" s="97">
        <f t="shared" si="78"/>
        <v>166948.08333333334</v>
      </c>
      <c r="AG136" s="25">
        <v>2003377</v>
      </c>
      <c r="AH136" s="259">
        <f t="shared" si="45"/>
        <v>1669480.8333333333</v>
      </c>
      <c r="AI136" s="50">
        <f t="shared" si="44"/>
        <v>166948.08333333334</v>
      </c>
    </row>
    <row r="137" spans="1:35" ht="18.75" customHeight="1">
      <c r="A137" s="15"/>
      <c r="B137" s="15">
        <v>10</v>
      </c>
      <c r="C137" s="97"/>
      <c r="D137" s="121" t="s">
        <v>310</v>
      </c>
      <c r="E137" s="124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25"/>
      <c r="S137" s="97"/>
      <c r="U137" s="97">
        <f t="shared" si="67"/>
        <v>70621.5</v>
      </c>
      <c r="V137" s="97">
        <f t="shared" si="68"/>
        <v>70621.5</v>
      </c>
      <c r="W137" s="97">
        <f t="shared" si="69"/>
        <v>70621.5</v>
      </c>
      <c r="X137" s="97">
        <f t="shared" si="70"/>
        <v>70621.5</v>
      </c>
      <c r="Y137" s="97">
        <f t="shared" si="71"/>
        <v>70621.5</v>
      </c>
      <c r="Z137" s="97">
        <f t="shared" si="72"/>
        <v>70621.5</v>
      </c>
      <c r="AA137" s="97">
        <f t="shared" si="73"/>
        <v>70621.5</v>
      </c>
      <c r="AB137" s="97">
        <f t="shared" si="74"/>
        <v>70621.5</v>
      </c>
      <c r="AC137" s="97">
        <f t="shared" si="75"/>
        <v>70621.5</v>
      </c>
      <c r="AD137" s="235">
        <f t="shared" si="76"/>
        <v>70621.5</v>
      </c>
      <c r="AE137" s="97">
        <f t="shared" si="77"/>
        <v>70621.5</v>
      </c>
      <c r="AF137" s="97">
        <f t="shared" si="78"/>
        <v>70621.5</v>
      </c>
      <c r="AG137" s="25">
        <v>847458</v>
      </c>
      <c r="AH137" s="259">
        <f t="shared" si="45"/>
        <v>706215</v>
      </c>
      <c r="AI137" s="50">
        <f t="shared" si="44"/>
        <v>70621.5</v>
      </c>
    </row>
    <row r="138" spans="1:35" ht="18.75" customHeight="1">
      <c r="A138" s="15"/>
      <c r="B138" s="15">
        <v>11</v>
      </c>
      <c r="C138" s="97"/>
      <c r="D138" s="121" t="s">
        <v>146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25"/>
      <c r="S138" s="97"/>
      <c r="U138" s="97">
        <f t="shared" si="67"/>
        <v>75000</v>
      </c>
      <c r="V138" s="97">
        <f t="shared" si="68"/>
        <v>75000</v>
      </c>
      <c r="W138" s="97">
        <f t="shared" si="69"/>
        <v>75000</v>
      </c>
      <c r="X138" s="97">
        <f t="shared" si="70"/>
        <v>75000</v>
      </c>
      <c r="Y138" s="97">
        <f t="shared" si="71"/>
        <v>75000</v>
      </c>
      <c r="Z138" s="97">
        <f t="shared" si="72"/>
        <v>75000</v>
      </c>
      <c r="AA138" s="97">
        <f t="shared" si="73"/>
        <v>75000</v>
      </c>
      <c r="AB138" s="97">
        <f t="shared" si="74"/>
        <v>75000</v>
      </c>
      <c r="AC138" s="97">
        <f t="shared" si="75"/>
        <v>75000</v>
      </c>
      <c r="AD138" s="235">
        <f t="shared" si="76"/>
        <v>75000</v>
      </c>
      <c r="AE138" s="97">
        <f t="shared" si="77"/>
        <v>75000</v>
      </c>
      <c r="AF138" s="97">
        <f t="shared" si="78"/>
        <v>75000</v>
      </c>
      <c r="AG138" s="25">
        <v>900000</v>
      </c>
      <c r="AH138" s="259">
        <f t="shared" si="45"/>
        <v>750000</v>
      </c>
      <c r="AI138" s="50">
        <f t="shared" si="44"/>
        <v>75000</v>
      </c>
    </row>
    <row r="139" spans="1:35" ht="18.75" customHeight="1">
      <c r="A139" s="15"/>
      <c r="B139" s="15"/>
      <c r="C139" s="97"/>
      <c r="D139" s="121" t="s">
        <v>101</v>
      </c>
      <c r="E139" s="124"/>
      <c r="F139" s="97"/>
      <c r="G139" s="97"/>
      <c r="H139" s="97"/>
      <c r="I139" s="97"/>
      <c r="J139" s="97"/>
      <c r="K139" s="97"/>
      <c r="L139" s="97">
        <v>1000</v>
      </c>
      <c r="M139" s="97"/>
      <c r="N139" s="97"/>
      <c r="O139" s="97"/>
      <c r="P139" s="97">
        <v>6000</v>
      </c>
      <c r="Q139" s="97"/>
      <c r="R139" s="25">
        <f>SUM(F139:Q139)</f>
        <v>7000</v>
      </c>
      <c r="S139" s="97"/>
      <c r="U139" s="97">
        <f t="shared" si="67"/>
        <v>0</v>
      </c>
      <c r="V139" s="97">
        <f t="shared" si="68"/>
        <v>0</v>
      </c>
      <c r="W139" s="97">
        <f t="shared" si="69"/>
        <v>0</v>
      </c>
      <c r="X139" s="97">
        <f t="shared" si="70"/>
        <v>0</v>
      </c>
      <c r="Y139" s="97">
        <f t="shared" si="71"/>
        <v>0</v>
      </c>
      <c r="Z139" s="97">
        <f t="shared" si="72"/>
        <v>0</v>
      </c>
      <c r="AA139" s="97">
        <f t="shared" si="73"/>
        <v>0</v>
      </c>
      <c r="AB139" s="97">
        <f t="shared" si="74"/>
        <v>0</v>
      </c>
      <c r="AC139" s="97">
        <f t="shared" si="75"/>
        <v>0</v>
      </c>
      <c r="AD139" s="235">
        <f t="shared" si="76"/>
        <v>0</v>
      </c>
      <c r="AE139" s="97">
        <f t="shared" si="77"/>
        <v>0</v>
      </c>
      <c r="AF139" s="97">
        <f t="shared" si="78"/>
        <v>0</v>
      </c>
      <c r="AG139" s="25"/>
      <c r="AH139" s="259">
        <f t="shared" si="45"/>
        <v>0</v>
      </c>
      <c r="AI139" s="50">
        <f t="shared" ref="AI139:AI153" si="79">+AG139/12</f>
        <v>0</v>
      </c>
    </row>
    <row r="140" spans="1:35" ht="18.75" customHeight="1">
      <c r="A140" s="15"/>
      <c r="B140" s="15"/>
      <c r="C140" s="97"/>
      <c r="D140" s="121" t="s">
        <v>102</v>
      </c>
      <c r="E140" s="124"/>
      <c r="F140" s="97"/>
      <c r="G140" s="97"/>
      <c r="H140" s="97"/>
      <c r="I140" s="97"/>
      <c r="J140" s="97"/>
      <c r="K140" s="97"/>
      <c r="L140" s="97"/>
      <c r="M140" s="97"/>
      <c r="N140" s="97"/>
      <c r="O140" s="97">
        <v>9000</v>
      </c>
      <c r="P140" s="97">
        <v>4000</v>
      </c>
      <c r="Q140" s="97"/>
      <c r="R140" s="25">
        <f>SUM(F140:Q140)</f>
        <v>13000</v>
      </c>
      <c r="S140" s="97"/>
      <c r="U140" s="97">
        <f t="shared" si="67"/>
        <v>0</v>
      </c>
      <c r="V140" s="97">
        <f t="shared" si="68"/>
        <v>0</v>
      </c>
      <c r="W140" s="97">
        <f t="shared" si="69"/>
        <v>0</v>
      </c>
      <c r="X140" s="97">
        <f t="shared" si="70"/>
        <v>0</v>
      </c>
      <c r="Y140" s="97">
        <f t="shared" si="71"/>
        <v>0</v>
      </c>
      <c r="Z140" s="97">
        <f t="shared" si="72"/>
        <v>0</v>
      </c>
      <c r="AA140" s="97">
        <f t="shared" si="73"/>
        <v>0</v>
      </c>
      <c r="AB140" s="97">
        <f t="shared" si="74"/>
        <v>0</v>
      </c>
      <c r="AC140" s="97">
        <f t="shared" si="75"/>
        <v>0</v>
      </c>
      <c r="AD140" s="235">
        <f t="shared" si="76"/>
        <v>0</v>
      </c>
      <c r="AE140" s="97">
        <f t="shared" si="77"/>
        <v>0</v>
      </c>
      <c r="AF140" s="97">
        <f t="shared" si="78"/>
        <v>0</v>
      </c>
      <c r="AG140" s="25"/>
      <c r="AH140" s="259">
        <f t="shared" si="45"/>
        <v>0</v>
      </c>
      <c r="AI140" s="50">
        <f t="shared" si="79"/>
        <v>0</v>
      </c>
    </row>
    <row r="141" spans="1:35" ht="18.75" customHeight="1">
      <c r="A141" s="15"/>
      <c r="B141" s="15"/>
      <c r="C141" s="97"/>
      <c r="D141" s="121" t="s">
        <v>103</v>
      </c>
      <c r="E141" s="124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>
        <v>5850</v>
      </c>
      <c r="Q141" s="97"/>
      <c r="R141" s="25">
        <f>SUM(F141:Q141)</f>
        <v>5850</v>
      </c>
      <c r="S141" s="97"/>
      <c r="U141" s="97">
        <f t="shared" si="67"/>
        <v>0</v>
      </c>
      <c r="V141" s="97">
        <f t="shared" si="68"/>
        <v>0</v>
      </c>
      <c r="W141" s="97">
        <f t="shared" si="69"/>
        <v>0</v>
      </c>
      <c r="X141" s="97">
        <f t="shared" si="70"/>
        <v>0</v>
      </c>
      <c r="Y141" s="97">
        <f t="shared" si="71"/>
        <v>0</v>
      </c>
      <c r="Z141" s="97">
        <f t="shared" si="72"/>
        <v>0</v>
      </c>
      <c r="AA141" s="97">
        <f t="shared" si="73"/>
        <v>0</v>
      </c>
      <c r="AB141" s="97">
        <f t="shared" si="74"/>
        <v>0</v>
      </c>
      <c r="AC141" s="97">
        <f t="shared" si="75"/>
        <v>0</v>
      </c>
      <c r="AD141" s="235">
        <f t="shared" si="76"/>
        <v>0</v>
      </c>
      <c r="AE141" s="97">
        <f t="shared" si="77"/>
        <v>0</v>
      </c>
      <c r="AF141" s="97">
        <f t="shared" si="78"/>
        <v>0</v>
      </c>
      <c r="AG141" s="25"/>
      <c r="AH141" s="259">
        <f t="shared" ref="AH141:AH152" si="80">+U141+V141+W141+X141+Y141+Z141+AA141+AB141+AC141+AD141</f>
        <v>0</v>
      </c>
      <c r="AI141" s="50">
        <f t="shared" si="79"/>
        <v>0</v>
      </c>
    </row>
    <row r="142" spans="1:35" ht="18.75" customHeight="1">
      <c r="A142" s="15"/>
      <c r="B142" s="15"/>
      <c r="C142" s="97"/>
      <c r="D142" s="121" t="s">
        <v>108</v>
      </c>
      <c r="E142" s="124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>
        <v>48365.25</v>
      </c>
      <c r="Q142" s="97"/>
      <c r="R142" s="25">
        <f>SUM(F142:Q142)</f>
        <v>48365.25</v>
      </c>
      <c r="S142" s="97"/>
      <c r="U142" s="97">
        <f t="shared" si="67"/>
        <v>0</v>
      </c>
      <c r="V142" s="97">
        <f t="shared" si="68"/>
        <v>0</v>
      </c>
      <c r="W142" s="97">
        <f t="shared" si="69"/>
        <v>0</v>
      </c>
      <c r="X142" s="97">
        <f t="shared" si="70"/>
        <v>0</v>
      </c>
      <c r="Y142" s="97">
        <f t="shared" si="71"/>
        <v>0</v>
      </c>
      <c r="Z142" s="97">
        <f t="shared" si="72"/>
        <v>0</v>
      </c>
      <c r="AA142" s="97">
        <f t="shared" si="73"/>
        <v>0</v>
      </c>
      <c r="AB142" s="97">
        <f t="shared" si="74"/>
        <v>0</v>
      </c>
      <c r="AC142" s="97">
        <f t="shared" si="75"/>
        <v>0</v>
      </c>
      <c r="AD142" s="235">
        <f t="shared" si="76"/>
        <v>0</v>
      </c>
      <c r="AE142" s="97">
        <f t="shared" si="77"/>
        <v>0</v>
      </c>
      <c r="AF142" s="97">
        <f t="shared" si="78"/>
        <v>0</v>
      </c>
      <c r="AG142" s="25"/>
      <c r="AH142" s="259">
        <f t="shared" si="80"/>
        <v>0</v>
      </c>
      <c r="AI142" s="50">
        <f t="shared" si="79"/>
        <v>0</v>
      </c>
    </row>
    <row r="143" spans="1:35" ht="9.75" customHeight="1">
      <c r="A143" s="15"/>
      <c r="B143" s="15"/>
      <c r="C143" s="20"/>
      <c r="D143" s="125"/>
      <c r="E143" s="126"/>
      <c r="F143" s="127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28"/>
      <c r="S143" s="20"/>
      <c r="U143" s="127"/>
      <c r="V143" s="105"/>
      <c r="W143" s="105"/>
      <c r="X143" s="105"/>
      <c r="Y143" s="105"/>
      <c r="Z143" s="105"/>
      <c r="AA143" s="105"/>
      <c r="AB143" s="105"/>
      <c r="AC143" s="105"/>
      <c r="AD143" s="249"/>
      <c r="AE143" s="105"/>
      <c r="AF143" s="105"/>
      <c r="AG143" s="128"/>
      <c r="AH143" s="259">
        <f t="shared" si="80"/>
        <v>0</v>
      </c>
      <c r="AI143" s="50">
        <f t="shared" si="79"/>
        <v>0</v>
      </c>
    </row>
    <row r="144" spans="1:35" ht="15" customHeight="1">
      <c r="A144" s="15"/>
      <c r="B144" s="15"/>
      <c r="C144" s="150">
        <f>SUM(C128:C143)</f>
        <v>461052.63</v>
      </c>
      <c r="D144" s="144" t="s">
        <v>311</v>
      </c>
      <c r="E144" s="148"/>
      <c r="F144" s="150">
        <f>SUM(F128:F143)</f>
        <v>0</v>
      </c>
      <c r="G144" s="150">
        <f t="shared" ref="G144:S144" si="81">SUM(G128:G143)</f>
        <v>0</v>
      </c>
      <c r="H144" s="150">
        <f t="shared" si="81"/>
        <v>50000</v>
      </c>
      <c r="I144" s="150">
        <f t="shared" si="81"/>
        <v>121418.88</v>
      </c>
      <c r="J144" s="150">
        <f t="shared" si="81"/>
        <v>141928.92000000001</v>
      </c>
      <c r="K144" s="150">
        <f t="shared" si="81"/>
        <v>77774.2</v>
      </c>
      <c r="L144" s="150">
        <f t="shared" si="81"/>
        <v>395877.35</v>
      </c>
      <c r="M144" s="150">
        <f t="shared" si="81"/>
        <v>433968.94</v>
      </c>
      <c r="N144" s="150">
        <f t="shared" si="81"/>
        <v>562975.09</v>
      </c>
      <c r="O144" s="150">
        <f t="shared" si="81"/>
        <v>372817.06000000006</v>
      </c>
      <c r="P144" s="150">
        <f t="shared" si="81"/>
        <v>469728.48000000004</v>
      </c>
      <c r="Q144" s="150">
        <f t="shared" si="81"/>
        <v>0</v>
      </c>
      <c r="R144" s="150">
        <f t="shared" si="81"/>
        <v>2626488.9200000004</v>
      </c>
      <c r="S144" s="150">
        <f t="shared" si="81"/>
        <v>0</v>
      </c>
      <c r="U144" s="150">
        <f>SUM(U128:U143)</f>
        <v>1548139.75</v>
      </c>
      <c r="V144" s="150">
        <f t="shared" ref="V144:AG144" si="82">SUM(V128:V143)</f>
        <v>1548139.75</v>
      </c>
      <c r="W144" s="150">
        <f t="shared" si="82"/>
        <v>1548139.75</v>
      </c>
      <c r="X144" s="150">
        <f t="shared" si="82"/>
        <v>1548139.75</v>
      </c>
      <c r="Y144" s="150">
        <f t="shared" si="82"/>
        <v>1548139.75</v>
      </c>
      <c r="Z144" s="150">
        <f t="shared" si="82"/>
        <v>1548139.75</v>
      </c>
      <c r="AA144" s="150">
        <f t="shared" si="82"/>
        <v>1548139.75</v>
      </c>
      <c r="AB144" s="150">
        <f t="shared" si="82"/>
        <v>1548139.75</v>
      </c>
      <c r="AC144" s="150">
        <f t="shared" si="82"/>
        <v>1548139.75</v>
      </c>
      <c r="AD144" s="248">
        <f t="shared" si="82"/>
        <v>1548139.75</v>
      </c>
      <c r="AE144" s="150">
        <f t="shared" si="82"/>
        <v>1548139.75</v>
      </c>
      <c r="AF144" s="150">
        <f t="shared" si="82"/>
        <v>1548139.75</v>
      </c>
      <c r="AG144" s="150">
        <f t="shared" si="82"/>
        <v>18577677</v>
      </c>
      <c r="AH144" s="259">
        <f t="shared" si="80"/>
        <v>15481397.5</v>
      </c>
      <c r="AI144" s="50">
        <f t="shared" si="79"/>
        <v>1548139.75</v>
      </c>
    </row>
    <row r="145" spans="1:36" ht="15" customHeight="1">
      <c r="A145" s="15"/>
      <c r="B145" s="15"/>
      <c r="C145" s="203"/>
      <c r="D145" s="206" t="s">
        <v>312</v>
      </c>
      <c r="E145" s="134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U145" s="203">
        <f>+U144*0.16</f>
        <v>247702.36000000002</v>
      </c>
      <c r="V145" s="203">
        <f t="shared" ref="V145:AF145" si="83">+V144*0.16</f>
        <v>247702.36000000002</v>
      </c>
      <c r="W145" s="203">
        <f t="shared" si="83"/>
        <v>247702.36000000002</v>
      </c>
      <c r="X145" s="203">
        <f t="shared" si="83"/>
        <v>247702.36000000002</v>
      </c>
      <c r="Y145" s="203">
        <f t="shared" si="83"/>
        <v>247702.36000000002</v>
      </c>
      <c r="Z145" s="203">
        <f t="shared" si="83"/>
        <v>247702.36000000002</v>
      </c>
      <c r="AA145" s="203">
        <f t="shared" si="83"/>
        <v>247702.36000000002</v>
      </c>
      <c r="AB145" s="203">
        <f t="shared" si="83"/>
        <v>247702.36000000002</v>
      </c>
      <c r="AC145" s="203">
        <f t="shared" si="83"/>
        <v>247702.36000000002</v>
      </c>
      <c r="AD145" s="250">
        <f t="shared" si="83"/>
        <v>247702.36000000002</v>
      </c>
      <c r="AE145" s="203">
        <f t="shared" si="83"/>
        <v>247702.36000000002</v>
      </c>
      <c r="AF145" s="203">
        <f t="shared" si="83"/>
        <v>247702.36000000002</v>
      </c>
      <c r="AG145" s="203">
        <v>2972428</v>
      </c>
      <c r="AH145" s="259">
        <f t="shared" si="80"/>
        <v>2477023.6</v>
      </c>
      <c r="AI145" s="50">
        <f t="shared" si="79"/>
        <v>247702.33333333334</v>
      </c>
    </row>
    <row r="146" spans="1:36" ht="15" customHeight="1">
      <c r="A146" s="15"/>
      <c r="B146" s="15"/>
      <c r="C146" s="203"/>
      <c r="D146" s="211" t="s">
        <v>313</v>
      </c>
      <c r="E146" s="212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90"/>
      <c r="U146" s="213">
        <f>+U144+U145</f>
        <v>1795842.11</v>
      </c>
      <c r="V146" s="213">
        <f t="shared" ref="V146:AF146" si="84">+V144+V145</f>
        <v>1795842.11</v>
      </c>
      <c r="W146" s="213">
        <f t="shared" si="84"/>
        <v>1795842.11</v>
      </c>
      <c r="X146" s="213">
        <f t="shared" si="84"/>
        <v>1795842.11</v>
      </c>
      <c r="Y146" s="213">
        <f t="shared" si="84"/>
        <v>1795842.11</v>
      </c>
      <c r="Z146" s="213">
        <f t="shared" si="84"/>
        <v>1795842.11</v>
      </c>
      <c r="AA146" s="213">
        <f t="shared" si="84"/>
        <v>1795842.11</v>
      </c>
      <c r="AB146" s="213">
        <f t="shared" si="84"/>
        <v>1795842.11</v>
      </c>
      <c r="AC146" s="213">
        <f t="shared" si="84"/>
        <v>1795842.11</v>
      </c>
      <c r="AD146" s="251">
        <f t="shared" si="84"/>
        <v>1795842.11</v>
      </c>
      <c r="AE146" s="213">
        <f t="shared" si="84"/>
        <v>1795842.11</v>
      </c>
      <c r="AF146" s="213">
        <f t="shared" si="84"/>
        <v>1795842.11</v>
      </c>
      <c r="AG146" s="213">
        <f>+AG144+AG145</f>
        <v>21550105</v>
      </c>
      <c r="AH146" s="259">
        <f t="shared" si="80"/>
        <v>17958421.099999998</v>
      </c>
      <c r="AI146" s="50">
        <f t="shared" si="79"/>
        <v>1795842.0833333333</v>
      </c>
    </row>
    <row r="147" spans="1:36" ht="15" customHeight="1">
      <c r="A147" s="15"/>
      <c r="B147" s="15"/>
      <c r="C147" s="203"/>
      <c r="D147" s="214"/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7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51"/>
      <c r="AE147" s="216"/>
      <c r="AF147" s="216"/>
      <c r="AG147" s="218"/>
      <c r="AH147" s="259">
        <f t="shared" si="80"/>
        <v>0</v>
      </c>
      <c r="AI147" s="50">
        <f t="shared" si="79"/>
        <v>0</v>
      </c>
    </row>
    <row r="148" spans="1:36" ht="15" customHeight="1">
      <c r="A148" s="15"/>
      <c r="B148" s="15"/>
      <c r="C148" s="203"/>
      <c r="D148" s="219" t="s">
        <v>1</v>
      </c>
      <c r="E148" s="40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43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250"/>
      <c r="AE148" s="189"/>
      <c r="AF148" s="189"/>
      <c r="AG148" s="220"/>
      <c r="AH148" s="259">
        <f t="shared" si="80"/>
        <v>0</v>
      </c>
      <c r="AI148" s="50">
        <f t="shared" si="79"/>
        <v>0</v>
      </c>
    </row>
    <row r="149" spans="1:36" ht="15" customHeight="1">
      <c r="A149" s="15"/>
      <c r="B149" s="15"/>
      <c r="C149" s="203"/>
      <c r="D149" s="219" t="s">
        <v>314</v>
      </c>
      <c r="E149" s="40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43"/>
      <c r="U149" s="97">
        <f>+AG149/12</f>
        <v>250000</v>
      </c>
      <c r="V149" s="97">
        <f>+AG149/12</f>
        <v>250000</v>
      </c>
      <c r="W149" s="97">
        <f>+AG149/12</f>
        <v>250000</v>
      </c>
      <c r="X149" s="97">
        <f>+AG149/12</f>
        <v>250000</v>
      </c>
      <c r="Y149" s="97">
        <f>+AG149/12</f>
        <v>250000</v>
      </c>
      <c r="Z149" s="97">
        <f>+AG149/12</f>
        <v>250000</v>
      </c>
      <c r="AA149" s="97">
        <f>+AG149/12</f>
        <v>250000</v>
      </c>
      <c r="AB149" s="97">
        <f>+AG149/12</f>
        <v>250000</v>
      </c>
      <c r="AC149" s="97">
        <f>+AG149/12</f>
        <v>250000</v>
      </c>
      <c r="AD149" s="235">
        <f>+AG149/12</f>
        <v>250000</v>
      </c>
      <c r="AE149" s="97">
        <f>+AG149/12</f>
        <v>250000</v>
      </c>
      <c r="AF149" s="97">
        <f>+AG149/12</f>
        <v>250000</v>
      </c>
      <c r="AG149" s="220">
        <v>3000000</v>
      </c>
      <c r="AH149" s="259">
        <f t="shared" si="80"/>
        <v>2500000</v>
      </c>
      <c r="AI149" s="50">
        <f t="shared" si="79"/>
        <v>250000</v>
      </c>
    </row>
    <row r="150" spans="1:36" ht="15" customHeight="1">
      <c r="A150" s="15"/>
      <c r="B150" s="15"/>
      <c r="C150" s="203"/>
      <c r="D150" s="221"/>
      <c r="E150" s="222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4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52"/>
      <c r="AE150" s="223"/>
      <c r="AF150" s="223"/>
      <c r="AG150" s="225"/>
      <c r="AH150" s="259">
        <f t="shared" si="80"/>
        <v>0</v>
      </c>
      <c r="AI150" s="50">
        <f t="shared" si="79"/>
        <v>0</v>
      </c>
    </row>
    <row r="151" spans="1:36" ht="15" customHeight="1">
      <c r="A151" s="15"/>
      <c r="B151" s="15"/>
      <c r="C151" s="203"/>
      <c r="D151" s="206" t="s">
        <v>312</v>
      </c>
      <c r="E151" s="134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U151" s="203">
        <f t="shared" ref="U151:AG151" si="85">+U149*0.16</f>
        <v>40000</v>
      </c>
      <c r="V151" s="203">
        <f t="shared" si="85"/>
        <v>40000</v>
      </c>
      <c r="W151" s="203">
        <f t="shared" si="85"/>
        <v>40000</v>
      </c>
      <c r="X151" s="203">
        <f t="shared" si="85"/>
        <v>40000</v>
      </c>
      <c r="Y151" s="203">
        <f t="shared" si="85"/>
        <v>40000</v>
      </c>
      <c r="Z151" s="203">
        <f t="shared" si="85"/>
        <v>40000</v>
      </c>
      <c r="AA151" s="203">
        <f t="shared" si="85"/>
        <v>40000</v>
      </c>
      <c r="AB151" s="203">
        <f t="shared" si="85"/>
        <v>40000</v>
      </c>
      <c r="AC151" s="203">
        <f t="shared" si="85"/>
        <v>40000</v>
      </c>
      <c r="AD151" s="250">
        <f t="shared" si="85"/>
        <v>40000</v>
      </c>
      <c r="AE151" s="203">
        <f t="shared" si="85"/>
        <v>40000</v>
      </c>
      <c r="AF151" s="203">
        <f t="shared" si="85"/>
        <v>40000</v>
      </c>
      <c r="AG151" s="203">
        <f t="shared" si="85"/>
        <v>480000</v>
      </c>
      <c r="AH151" s="259">
        <f t="shared" si="80"/>
        <v>400000</v>
      </c>
      <c r="AI151" s="50">
        <f t="shared" si="79"/>
        <v>40000</v>
      </c>
    </row>
    <row r="152" spans="1:36" ht="15" customHeight="1" thickBot="1">
      <c r="A152" s="15"/>
      <c r="B152" s="15"/>
      <c r="C152" s="203"/>
      <c r="D152" s="207" t="s">
        <v>313</v>
      </c>
      <c r="E152" s="208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10"/>
      <c r="U152" s="209">
        <f>+U149+U151</f>
        <v>290000</v>
      </c>
      <c r="V152" s="209">
        <f t="shared" ref="V152:AF152" si="86">+V149+V151</f>
        <v>290000</v>
      </c>
      <c r="W152" s="209">
        <f t="shared" si="86"/>
        <v>290000</v>
      </c>
      <c r="X152" s="209">
        <f t="shared" si="86"/>
        <v>290000</v>
      </c>
      <c r="Y152" s="209">
        <f t="shared" si="86"/>
        <v>290000</v>
      </c>
      <c r="Z152" s="209">
        <f t="shared" si="86"/>
        <v>290000</v>
      </c>
      <c r="AA152" s="209">
        <f t="shared" si="86"/>
        <v>290000</v>
      </c>
      <c r="AB152" s="209">
        <f t="shared" si="86"/>
        <v>290000</v>
      </c>
      <c r="AC152" s="209">
        <f t="shared" si="86"/>
        <v>290000</v>
      </c>
      <c r="AD152" s="253">
        <f t="shared" si="86"/>
        <v>290000</v>
      </c>
      <c r="AE152" s="209">
        <f t="shared" si="86"/>
        <v>290000</v>
      </c>
      <c r="AF152" s="209">
        <f t="shared" si="86"/>
        <v>290000</v>
      </c>
      <c r="AG152" s="209">
        <f>+AG149+AG151</f>
        <v>3480000</v>
      </c>
      <c r="AH152" s="259">
        <f t="shared" si="80"/>
        <v>2900000</v>
      </c>
      <c r="AI152" s="50">
        <f t="shared" si="79"/>
        <v>290000</v>
      </c>
    </row>
    <row r="153" spans="1:36" ht="15" customHeight="1">
      <c r="A153" s="15"/>
      <c r="B153" s="15"/>
      <c r="C153" s="203"/>
      <c r="D153" s="134"/>
      <c r="E153" s="134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50"/>
      <c r="AE153" s="203"/>
      <c r="AF153" s="203"/>
      <c r="AG153" s="203"/>
      <c r="AH153" s="259">
        <f>+U153+V153+W153+X153+Y153+Z153+AA153+AB153+AC153</f>
        <v>0</v>
      </c>
      <c r="AI153" s="50">
        <f t="shared" si="79"/>
        <v>0</v>
      </c>
    </row>
    <row r="154" spans="1:36" ht="15" customHeight="1" thickBot="1">
      <c r="A154" s="15"/>
      <c r="B154" s="15"/>
      <c r="C154" s="203"/>
      <c r="D154" s="226" t="s">
        <v>315</v>
      </c>
      <c r="E154" s="227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9"/>
      <c r="U154" s="228">
        <f t="shared" ref="U154:AG154" si="87">+U146+U152</f>
        <v>2085842.11</v>
      </c>
      <c r="V154" s="228">
        <f t="shared" si="87"/>
        <v>2085842.11</v>
      </c>
      <c r="W154" s="228">
        <f t="shared" si="87"/>
        <v>2085842.11</v>
      </c>
      <c r="X154" s="228">
        <f t="shared" si="87"/>
        <v>2085842.11</v>
      </c>
      <c r="Y154" s="228">
        <f t="shared" si="87"/>
        <v>2085842.11</v>
      </c>
      <c r="Z154" s="228">
        <f t="shared" si="87"/>
        <v>2085842.11</v>
      </c>
      <c r="AA154" s="228">
        <f t="shared" si="87"/>
        <v>2085842.11</v>
      </c>
      <c r="AB154" s="228">
        <f t="shared" si="87"/>
        <v>2085842.11</v>
      </c>
      <c r="AC154" s="228">
        <f t="shared" si="87"/>
        <v>2085842.11</v>
      </c>
      <c r="AD154" s="254">
        <f t="shared" si="87"/>
        <v>2085842.11</v>
      </c>
      <c r="AE154" s="228">
        <f t="shared" si="87"/>
        <v>2085842.11</v>
      </c>
      <c r="AF154" s="228">
        <f t="shared" si="87"/>
        <v>2085842.11</v>
      </c>
      <c r="AG154" s="228">
        <f t="shared" si="87"/>
        <v>25030105</v>
      </c>
      <c r="AH154" s="259">
        <f>+U154+V154+W154+X154+Y154+Z154+AA154+AB154+AC154+AD154</f>
        <v>20858421.099999998</v>
      </c>
      <c r="AI154" s="49"/>
    </row>
    <row r="155" spans="1:36" ht="15" customHeight="1" thickTop="1">
      <c r="A155" s="15"/>
      <c r="B155" s="15"/>
      <c r="C155" s="203"/>
      <c r="D155" s="40"/>
      <c r="E155" s="40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204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250"/>
      <c r="AE155" s="189"/>
      <c r="AF155" s="189"/>
      <c r="AG155" s="189"/>
      <c r="AH155" s="259"/>
      <c r="AI155" s="49"/>
    </row>
    <row r="156" spans="1:36" ht="9.75" customHeight="1">
      <c r="A156" s="15"/>
      <c r="B156" s="15"/>
      <c r="C156" s="80"/>
      <c r="D156" s="129"/>
      <c r="E156" s="129"/>
      <c r="F156" s="129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30"/>
      <c r="S156" s="80"/>
      <c r="U156" s="129"/>
      <c r="V156" s="106"/>
      <c r="W156" s="106"/>
      <c r="X156" s="106"/>
      <c r="Y156" s="106"/>
      <c r="Z156" s="106"/>
      <c r="AA156" s="106"/>
      <c r="AB156" s="106"/>
      <c r="AC156" s="106"/>
      <c r="AD156" s="255"/>
      <c r="AE156" s="106"/>
      <c r="AF156" s="106"/>
      <c r="AG156" s="130"/>
      <c r="AH156" s="259">
        <f>+U156+V156+W156+X156+Y156</f>
        <v>0</v>
      </c>
    </row>
    <row r="157" spans="1:36" s="44" customFormat="1" ht="19.5" thickBot="1">
      <c r="A157" s="42"/>
      <c r="B157" s="42"/>
      <c r="C157" s="154">
        <f>+C125-C144</f>
        <v>-1108603.3459999999</v>
      </c>
      <c r="D157" s="155" t="s">
        <v>317</v>
      </c>
      <c r="E157" s="155"/>
      <c r="F157" s="154" t="e">
        <f t="shared" ref="F157:S157" si="88">+F125-F144</f>
        <v>#REF!</v>
      </c>
      <c r="G157" s="154" t="e">
        <f t="shared" si="88"/>
        <v>#REF!</v>
      </c>
      <c r="H157" s="154" t="e">
        <f t="shared" si="88"/>
        <v>#REF!</v>
      </c>
      <c r="I157" s="154" t="e">
        <f t="shared" si="88"/>
        <v>#REF!</v>
      </c>
      <c r="J157" s="154" t="e">
        <f t="shared" si="88"/>
        <v>#REF!</v>
      </c>
      <c r="K157" s="154" t="e">
        <f t="shared" si="88"/>
        <v>#REF!</v>
      </c>
      <c r="L157" s="154" t="e">
        <f t="shared" si="88"/>
        <v>#REF!</v>
      </c>
      <c r="M157" s="154" t="e">
        <f t="shared" si="88"/>
        <v>#REF!</v>
      </c>
      <c r="N157" s="154" t="e">
        <f t="shared" si="88"/>
        <v>#REF!</v>
      </c>
      <c r="O157" s="154" t="e">
        <f t="shared" si="88"/>
        <v>#REF!</v>
      </c>
      <c r="P157" s="154" t="e">
        <f t="shared" si="88"/>
        <v>#REF!</v>
      </c>
      <c r="Q157" s="154" t="e">
        <f t="shared" si="88"/>
        <v>#REF!</v>
      </c>
      <c r="R157" s="154">
        <f t="shared" si="88"/>
        <v>-253693.97550000111</v>
      </c>
      <c r="S157" s="154">
        <f t="shared" si="88"/>
        <v>-1811670.5838333368</v>
      </c>
      <c r="T157" s="137"/>
      <c r="U157" s="154">
        <f>+U125-U154</f>
        <v>599655.74799999991</v>
      </c>
      <c r="V157" s="154">
        <f t="shared" ref="V157:AF157" si="89">+V125-V154</f>
        <v>443478.74610000034</v>
      </c>
      <c r="W157" s="154">
        <f t="shared" si="89"/>
        <v>435644.45574999996</v>
      </c>
      <c r="X157" s="154">
        <f t="shared" si="89"/>
        <v>350830.68983333302</v>
      </c>
      <c r="Y157" s="154">
        <f t="shared" si="89"/>
        <v>423226.73708333285</v>
      </c>
      <c r="Z157" s="154">
        <f t="shared" si="89"/>
        <v>34282.246583333006</v>
      </c>
      <c r="AA157" s="154">
        <f t="shared" si="89"/>
        <v>334225.22763333307</v>
      </c>
      <c r="AB157" s="154">
        <f t="shared" si="89"/>
        <v>248483.70413333294</v>
      </c>
      <c r="AC157" s="154">
        <f t="shared" si="89"/>
        <v>252753.57083333307</v>
      </c>
      <c r="AD157" s="256">
        <f t="shared" si="89"/>
        <v>46758.674183332594</v>
      </c>
      <c r="AE157" s="154">
        <f t="shared" si="89"/>
        <v>19106.444833332906</v>
      </c>
      <c r="AF157" s="154">
        <f t="shared" si="89"/>
        <v>-514208.48995916708</v>
      </c>
      <c r="AG157" s="154">
        <f>+AG125-AG154</f>
        <v>2876735.0750074983</v>
      </c>
      <c r="AH157" s="256">
        <f>+AH125-AH154</f>
        <v>2918504.133466661</v>
      </c>
      <c r="AI157" s="154">
        <f>+AI125-AI154</f>
        <v>2325570.006250625</v>
      </c>
      <c r="AJ157" s="205">
        <f>18595885+2954395</f>
        <v>21550280</v>
      </c>
    </row>
    <row r="158" spans="1:36" s="44" customFormat="1" ht="9" customHeight="1" thickTop="1">
      <c r="A158" s="42"/>
      <c r="B158" s="42"/>
      <c r="C158" s="45"/>
      <c r="D158" s="43"/>
      <c r="E158" s="43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5"/>
      <c r="T158" s="137"/>
      <c r="AD158" s="257"/>
      <c r="AH158" s="259">
        <f>+U158+V158+W158+X158+Y158</f>
        <v>0</v>
      </c>
    </row>
    <row r="159" spans="1:36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U159" s="58">
        <v>-2264705.8286666665</v>
      </c>
      <c r="V159" s="58">
        <v>-2420882.8305666666</v>
      </c>
      <c r="W159" s="58">
        <v>-2428717.1209166665</v>
      </c>
      <c r="X159" s="58">
        <v>-1024364.5535</v>
      </c>
      <c r="Y159" s="58">
        <v>-2451968.5062500001</v>
      </c>
      <c r="Z159" s="58">
        <v>-4340912.9967499999</v>
      </c>
      <c r="AA159" s="58">
        <v>-4040970.0156999999</v>
      </c>
      <c r="AB159" s="58">
        <v>-4126711.5392</v>
      </c>
      <c r="AC159" s="58">
        <v>-4122441.6725000003</v>
      </c>
      <c r="AD159" s="258">
        <v>-3828436.5691499999</v>
      </c>
      <c r="AE159" s="58">
        <v>-2856088.7985</v>
      </c>
      <c r="AF159" s="58">
        <v>-3385974.3732924997</v>
      </c>
      <c r="AG159" s="58">
        <v>2237825.1950074993</v>
      </c>
      <c r="AH159" s="259">
        <f>+U159+V159+W159+X159+Y159</f>
        <v>-10590638.8399</v>
      </c>
    </row>
    <row r="160" spans="1:36">
      <c r="F160" s="46"/>
      <c r="G160" s="46"/>
      <c r="H160" s="46"/>
      <c r="I160" s="46"/>
      <c r="J160" s="46"/>
      <c r="K160" s="46"/>
      <c r="L160" s="46"/>
      <c r="M160" s="47"/>
      <c r="N160" s="47"/>
      <c r="O160" s="47"/>
      <c r="P160" s="47"/>
      <c r="Q160" s="47"/>
      <c r="R160" s="46"/>
      <c r="S160" s="46"/>
    </row>
    <row r="161" spans="4:33" ht="18.75">
      <c r="D161" s="84"/>
      <c r="E161" s="4">
        <v>1</v>
      </c>
      <c r="F161" s="46"/>
      <c r="G161" s="46"/>
      <c r="H161" s="46"/>
      <c r="I161" s="46"/>
      <c r="J161" s="46"/>
      <c r="K161" s="46"/>
      <c r="L161" s="46"/>
      <c r="M161" s="47"/>
      <c r="R161" s="15" t="s">
        <v>123</v>
      </c>
      <c r="T161" s="53"/>
      <c r="U161" s="4"/>
      <c r="V161" s="52"/>
    </row>
    <row r="162" spans="4:33" ht="14.25">
      <c r="D162" s="84"/>
      <c r="E162" s="4">
        <f>+E161+1</f>
        <v>2</v>
      </c>
      <c r="F162" s="46"/>
      <c r="G162" s="75"/>
      <c r="H162" s="75"/>
      <c r="I162" s="75"/>
      <c r="J162" s="75"/>
      <c r="K162" s="75"/>
      <c r="L162" s="75"/>
      <c r="M162" s="75"/>
      <c r="R162" s="15" t="s">
        <v>124</v>
      </c>
      <c r="T162" s="81"/>
      <c r="U162" s="4"/>
      <c r="AG162" s="50">
        <f>+AG157/12</f>
        <v>239727.92291729152</v>
      </c>
    </row>
    <row r="163" spans="4:33" ht="14.25">
      <c r="D163" s="84"/>
      <c r="E163" s="4">
        <f t="shared" ref="E163:E172" si="90">+E162+1</f>
        <v>3</v>
      </c>
      <c r="F163" s="46"/>
      <c r="G163" s="75"/>
      <c r="H163" s="75"/>
      <c r="I163" s="75"/>
      <c r="J163" s="75"/>
      <c r="K163" s="75"/>
      <c r="L163" s="75"/>
      <c r="M163" s="75"/>
      <c r="R163" s="15" t="s">
        <v>132</v>
      </c>
      <c r="T163" s="75"/>
      <c r="U163" s="4"/>
    </row>
    <row r="164" spans="4:33" ht="14.25">
      <c r="D164" s="84"/>
      <c r="E164" s="4">
        <f t="shared" si="90"/>
        <v>4</v>
      </c>
      <c r="F164" s="48"/>
      <c r="G164" s="75"/>
      <c r="H164" s="75"/>
      <c r="I164" s="75"/>
      <c r="J164" s="75"/>
      <c r="K164" s="75"/>
      <c r="L164" s="75"/>
      <c r="M164" s="75"/>
      <c r="R164" s="15" t="s">
        <v>132</v>
      </c>
      <c r="T164" s="75"/>
      <c r="U164" s="4"/>
    </row>
    <row r="165" spans="4:33" ht="14.25">
      <c r="D165" s="84"/>
      <c r="E165" s="4">
        <f t="shared" si="90"/>
        <v>5</v>
      </c>
      <c r="F165" s="50"/>
      <c r="G165" s="75"/>
      <c r="H165" s="75"/>
      <c r="I165" s="75"/>
      <c r="J165" s="75"/>
      <c r="K165" s="75"/>
      <c r="L165" s="75"/>
      <c r="M165" s="75"/>
      <c r="R165" s="15" t="s">
        <v>132</v>
      </c>
      <c r="T165" s="75"/>
      <c r="U165" s="4"/>
    </row>
    <row r="166" spans="4:33" ht="14.25">
      <c r="D166" s="84"/>
      <c r="E166" s="4">
        <f t="shared" si="90"/>
        <v>6</v>
      </c>
      <c r="R166" s="15" t="s">
        <v>125</v>
      </c>
      <c r="T166" s="2"/>
      <c r="U166" s="4"/>
    </row>
    <row r="167" spans="4:33" ht="14.25">
      <c r="D167" s="84"/>
      <c r="E167" s="4">
        <f t="shared" si="90"/>
        <v>7</v>
      </c>
      <c r="R167" s="15" t="s">
        <v>126</v>
      </c>
      <c r="T167" s="47"/>
      <c r="U167" s="4"/>
    </row>
    <row r="168" spans="4:33" ht="14.25">
      <c r="D168" s="84"/>
      <c r="E168" s="4">
        <f t="shared" si="90"/>
        <v>8</v>
      </c>
      <c r="R168" s="15" t="s">
        <v>127</v>
      </c>
      <c r="T168" s="2"/>
      <c r="U168" s="4"/>
    </row>
    <row r="169" spans="4:33" ht="14.25">
      <c r="D169" s="84"/>
      <c r="E169" s="4">
        <f t="shared" si="90"/>
        <v>9</v>
      </c>
      <c r="R169" s="15" t="s">
        <v>74</v>
      </c>
      <c r="T169" s="47"/>
      <c r="U169" s="4"/>
    </row>
    <row r="170" spans="4:33" ht="14.25">
      <c r="D170" s="84"/>
      <c r="E170" s="4">
        <f t="shared" si="90"/>
        <v>10</v>
      </c>
      <c r="R170" s="15" t="s">
        <v>128</v>
      </c>
      <c r="T170" s="2"/>
      <c r="U170" s="4"/>
    </row>
    <row r="171" spans="4:33" ht="14.25">
      <c r="D171" s="84"/>
      <c r="E171" s="4">
        <f t="shared" si="90"/>
        <v>11</v>
      </c>
      <c r="R171" s="15" t="s">
        <v>122</v>
      </c>
      <c r="T171" s="47"/>
      <c r="U171" s="4"/>
    </row>
    <row r="172" spans="4:33" ht="14.25">
      <c r="D172" s="84"/>
      <c r="E172" s="4">
        <f t="shared" si="90"/>
        <v>12</v>
      </c>
      <c r="R172" s="15" t="s">
        <v>129</v>
      </c>
      <c r="T172" s="2"/>
      <c r="U172" s="4"/>
    </row>
    <row r="173" spans="4:33" ht="14.25">
      <c r="D173" s="84"/>
      <c r="E173" s="4">
        <v>13</v>
      </c>
      <c r="R173" s="15" t="s">
        <v>131</v>
      </c>
      <c r="T173" s="2"/>
      <c r="U173" s="4"/>
    </row>
  </sheetData>
  <sortState ref="B132:AH147">
    <sortCondition ref="B132:B147"/>
  </sortState>
  <mergeCells count="2">
    <mergeCell ref="D3:R3"/>
    <mergeCell ref="C1:S1"/>
  </mergeCells>
  <pageMargins left="1.3779527559055118" right="1.0236220472440944" top="0.78740157480314965" bottom="0.59055118110236227" header="0" footer="0"/>
  <pageSetup scale="18" fitToHeight="2" orientation="portrait" horizontalDpi="4294967293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9"/>
  <sheetViews>
    <sheetView zoomScale="76" zoomScaleNormal="76" workbookViewId="0">
      <pane xSplit="5" ySplit="9" topLeftCell="R136" activePane="bottomRight" state="frozen"/>
      <selection pane="topRight" activeCell="F1" sqref="F1"/>
      <selection pane="bottomLeft" activeCell="A9" sqref="A9"/>
      <selection pane="bottomRight" activeCell="R145" sqref="R145:AI145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customWidth="1"/>
    <col min="4" max="4" width="39.85546875" customWidth="1"/>
    <col min="5" max="5" width="4.42578125" customWidth="1"/>
    <col min="6" max="6" width="14.7109375" hidden="1" customWidth="1"/>
    <col min="7" max="17" width="14.5703125" style="2" hidden="1" customWidth="1"/>
    <col min="18" max="18" width="15.7109375" style="2" customWidth="1"/>
    <col min="19" max="19" width="17.28515625" style="4" customWidth="1"/>
    <col min="20" max="20" width="28.5703125" hidden="1" customWidth="1"/>
    <col min="21" max="21" width="12.42578125" customWidth="1"/>
    <col min="22" max="22" width="3.7109375" style="115" customWidth="1"/>
    <col min="23" max="34" width="11.42578125" hidden="1" customWidth="1"/>
    <col min="35" max="35" width="15.140625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W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W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W5" s="3">
        <v>4</v>
      </c>
      <c r="X5" s="3">
        <v>4</v>
      </c>
      <c r="Y5" s="3">
        <v>5</v>
      </c>
      <c r="Z5" s="3">
        <v>4</v>
      </c>
      <c r="AA5" s="3">
        <v>4</v>
      </c>
      <c r="AB5" s="3">
        <v>5</v>
      </c>
      <c r="AC5" s="3">
        <v>4</v>
      </c>
      <c r="AD5" s="3">
        <v>4</v>
      </c>
      <c r="AE5" s="3">
        <v>5</v>
      </c>
      <c r="AF5" s="3">
        <v>4</v>
      </c>
      <c r="AG5" s="3">
        <v>4</v>
      </c>
      <c r="AH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I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59" t="s">
        <v>92</v>
      </c>
      <c r="W8" s="65">
        <v>40544</v>
      </c>
      <c r="X8" s="65">
        <v>40575</v>
      </c>
      <c r="Y8" s="65">
        <v>40603</v>
      </c>
      <c r="Z8" s="65">
        <v>40634</v>
      </c>
      <c r="AA8" s="65">
        <v>40664</v>
      </c>
      <c r="AB8" s="65">
        <v>40695</v>
      </c>
      <c r="AC8" s="65">
        <v>40725</v>
      </c>
      <c r="AD8" s="65">
        <v>40756</v>
      </c>
      <c r="AE8" s="65">
        <v>40787</v>
      </c>
      <c r="AF8" s="65">
        <v>40817</v>
      </c>
      <c r="AG8" s="65">
        <v>40848</v>
      </c>
      <c r="AH8" s="65">
        <v>40878</v>
      </c>
      <c r="AI8" s="156" t="s">
        <v>140</v>
      </c>
    </row>
    <row r="9" spans="1:35">
      <c r="C9" s="89"/>
      <c r="D9" s="86"/>
      <c r="E9" s="8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8"/>
      <c r="S9" s="89"/>
      <c r="U9" s="89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8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U10" s="91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5"/>
    </row>
    <row r="11" spans="1:35">
      <c r="C11" s="92"/>
      <c r="D11" s="5"/>
      <c r="E11" s="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U11" s="1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>
      <c r="A12" s="15"/>
      <c r="B12" s="15"/>
      <c r="C12" s="17">
        <v>378618</v>
      </c>
      <c r="D12" s="5" t="s">
        <v>5</v>
      </c>
      <c r="E12" s="5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2" si="0">SUM(F12:Q12)</f>
        <v>271846.67</v>
      </c>
      <c r="S12" s="17">
        <v>390530</v>
      </c>
      <c r="T12" s="19"/>
      <c r="U12" s="17">
        <f>+R12-S12</f>
        <v>-118683.33000000002</v>
      </c>
      <c r="W12" s="77"/>
      <c r="X12" s="25"/>
      <c r="Y12" s="25"/>
      <c r="Z12" s="25"/>
      <c r="AA12" s="25"/>
      <c r="AB12" s="25"/>
      <c r="AC12" s="25"/>
      <c r="AD12" s="97"/>
      <c r="AE12" s="25"/>
      <c r="AF12" s="25"/>
      <c r="AG12" s="25"/>
      <c r="AH12" s="25"/>
      <c r="AI12" s="25">
        <v>400000</v>
      </c>
    </row>
    <row r="13" spans="1:35">
      <c r="A13" s="15"/>
      <c r="B13" s="15"/>
      <c r="C13" s="17">
        <v>0</v>
      </c>
      <c r="D13" s="5" t="s">
        <v>68</v>
      </c>
      <c r="E13" s="5"/>
      <c r="F13" s="77"/>
      <c r="G13" s="25"/>
      <c r="H13" s="25"/>
      <c r="I13" s="25"/>
      <c r="J13" s="25"/>
      <c r="K13" s="25"/>
      <c r="L13" s="25"/>
      <c r="M13" s="97"/>
      <c r="N13" s="25"/>
      <c r="O13" s="25"/>
      <c r="P13" s="25"/>
      <c r="Q13" s="25"/>
      <c r="R13" s="25">
        <f t="shared" si="0"/>
        <v>0</v>
      </c>
      <c r="S13" s="17"/>
      <c r="U13" s="17">
        <f t="shared" ref="U13:U42" si="1">+R13-S13</f>
        <v>0</v>
      </c>
      <c r="W13" s="77"/>
      <c r="X13" s="25"/>
      <c r="Y13" s="25"/>
      <c r="Z13" s="25"/>
      <c r="AA13" s="25"/>
      <c r="AB13" s="25"/>
      <c r="AC13" s="25"/>
      <c r="AD13" s="97"/>
      <c r="AE13" s="25"/>
      <c r="AF13" s="25"/>
      <c r="AG13" s="25"/>
      <c r="AH13" s="25"/>
      <c r="AI13" s="25">
        <f>SUM(W13:AH13)</f>
        <v>0</v>
      </c>
    </row>
    <row r="14" spans="1:35">
      <c r="A14" s="15"/>
      <c r="B14" s="15"/>
      <c r="C14" s="17">
        <v>23533.57</v>
      </c>
      <c r="D14" s="5" t="s">
        <v>6</v>
      </c>
      <c r="E14" s="5"/>
      <c r="F14" s="77"/>
      <c r="G14" s="25"/>
      <c r="H14" s="25"/>
      <c r="I14" s="25"/>
      <c r="J14" s="25"/>
      <c r="K14" s="25"/>
      <c r="L14" s="25"/>
      <c r="M14" s="97">
        <f>4441.63+2955.36</f>
        <v>7396.99</v>
      </c>
      <c r="N14" s="25"/>
      <c r="O14" s="25"/>
      <c r="P14" s="25"/>
      <c r="Q14" s="25">
        <v>3215.59</v>
      </c>
      <c r="R14" s="25">
        <f t="shared" si="0"/>
        <v>10612.58</v>
      </c>
      <c r="S14" s="17">
        <v>19725</v>
      </c>
      <c r="T14" t="s">
        <v>66</v>
      </c>
      <c r="U14" s="17">
        <f t="shared" si="1"/>
        <v>-9112.42</v>
      </c>
      <c r="W14" s="77"/>
      <c r="X14" s="25"/>
      <c r="Y14" s="25"/>
      <c r="Z14" s="25"/>
      <c r="AA14" s="25"/>
      <c r="AB14" s="25"/>
      <c r="AC14" s="25"/>
      <c r="AD14" s="97"/>
      <c r="AE14" s="25"/>
      <c r="AF14" s="25"/>
      <c r="AG14" s="25"/>
      <c r="AH14" s="25"/>
      <c r="AI14" s="25">
        <v>15000</v>
      </c>
    </row>
    <row r="15" spans="1:35">
      <c r="A15" s="15"/>
      <c r="B15" s="15"/>
      <c r="C15" s="17">
        <v>5429.4</v>
      </c>
      <c r="D15" s="5" t="s">
        <v>67</v>
      </c>
      <c r="E15" s="5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 t="shared" si="0"/>
        <v>22164.1</v>
      </c>
      <c r="S15" s="17">
        <v>5429</v>
      </c>
      <c r="T15" s="19"/>
      <c r="U15" s="17">
        <f t="shared" si="1"/>
        <v>16735.099999999999</v>
      </c>
      <c r="W15" s="77"/>
      <c r="X15" s="25"/>
      <c r="Y15" s="25"/>
      <c r="Z15" s="25"/>
      <c r="AA15" s="25"/>
      <c r="AB15" s="25"/>
      <c r="AC15" s="25"/>
      <c r="AD15" s="97"/>
      <c r="AE15" s="25"/>
      <c r="AF15" s="25"/>
      <c r="AG15" s="25"/>
      <c r="AH15" s="25"/>
      <c r="AI15" s="25">
        <v>20000</v>
      </c>
    </row>
    <row r="16" spans="1:35">
      <c r="A16" s="15"/>
      <c r="B16" s="15"/>
      <c r="C16" s="17"/>
      <c r="D16" s="115" t="s">
        <v>141</v>
      </c>
      <c r="E16" s="5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/>
      <c r="S16" s="17"/>
      <c r="U16" s="17">
        <f t="shared" si="1"/>
        <v>0</v>
      </c>
      <c r="W16" s="77"/>
      <c r="X16" s="25"/>
      <c r="Y16" s="25"/>
      <c r="Z16" s="25"/>
      <c r="AA16" s="25"/>
      <c r="AB16" s="25"/>
      <c r="AC16" s="25"/>
      <c r="AD16" s="97"/>
      <c r="AE16" s="25"/>
      <c r="AF16" s="25"/>
      <c r="AG16" s="25"/>
      <c r="AH16" s="25"/>
      <c r="AI16" s="25"/>
    </row>
    <row r="17" spans="1:35" hidden="1">
      <c r="A17" s="15"/>
      <c r="B17" s="15"/>
      <c r="C17" s="17">
        <v>0</v>
      </c>
      <c r="D17" s="18" t="s">
        <v>7</v>
      </c>
      <c r="E17" s="5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>
        <f t="shared" si="0"/>
        <v>0</v>
      </c>
      <c r="S17" s="17"/>
      <c r="U17" s="17">
        <f t="shared" si="1"/>
        <v>0</v>
      </c>
      <c r="W17" s="77"/>
      <c r="X17" s="25"/>
      <c r="Y17" s="25"/>
      <c r="Z17" s="25"/>
      <c r="AA17" s="25"/>
      <c r="AB17" s="25"/>
      <c r="AC17" s="25"/>
      <c r="AD17" s="97"/>
      <c r="AE17" s="25"/>
      <c r="AF17" s="25"/>
      <c r="AG17" s="25"/>
      <c r="AH17" s="25"/>
      <c r="AI17" s="25">
        <f t="shared" ref="AI17:AI22" si="2">SUM(W17:AH17)</f>
        <v>0</v>
      </c>
    </row>
    <row r="18" spans="1:35">
      <c r="A18" s="15"/>
      <c r="B18" s="15"/>
      <c r="C18" s="17">
        <v>744158.53</v>
      </c>
      <c r="D18" s="18" t="s">
        <v>8</v>
      </c>
      <c r="E18" s="5"/>
      <c r="F18" s="77">
        <v>8000</v>
      </c>
      <c r="G18" s="25">
        <f>23900+2397</f>
        <v>26297</v>
      </c>
      <c r="H18" s="25">
        <v>2500</v>
      </c>
      <c r="I18" s="25">
        <f>3000+10038+1500</f>
        <v>14538</v>
      </c>
      <c r="J18" s="25">
        <v>20534.48</v>
      </c>
      <c r="K18" s="25">
        <v>2500</v>
      </c>
      <c r="L18" s="25"/>
      <c r="M18" s="97">
        <v>11800</v>
      </c>
      <c r="N18" s="25">
        <f>88640+10000</f>
        <v>98640</v>
      </c>
      <c r="O18" s="25">
        <f>53019.75+8000</f>
        <v>61019.75</v>
      </c>
      <c r="P18" s="25">
        <v>30172.400000000001</v>
      </c>
      <c r="Q18" s="25">
        <v>115276.67</v>
      </c>
      <c r="R18" s="25">
        <f t="shared" si="0"/>
        <v>391278.3</v>
      </c>
      <c r="S18" s="17">
        <v>746197</v>
      </c>
      <c r="T18" t="s">
        <v>9</v>
      </c>
      <c r="U18" s="17">
        <f t="shared" si="1"/>
        <v>-354918.7</v>
      </c>
      <c r="W18" s="77"/>
      <c r="X18" s="25"/>
      <c r="Y18" s="25"/>
      <c r="Z18" s="25"/>
      <c r="AA18" s="25"/>
      <c r="AB18" s="25"/>
      <c r="AC18" s="25"/>
      <c r="AD18" s="97"/>
      <c r="AE18" s="25"/>
      <c r="AF18" s="25"/>
      <c r="AG18" s="25"/>
      <c r="AH18" s="25"/>
      <c r="AI18" s="25">
        <v>500000</v>
      </c>
    </row>
    <row r="19" spans="1:35">
      <c r="A19" s="15"/>
      <c r="B19" s="15"/>
      <c r="C19" s="17">
        <v>1304.3499999999999</v>
      </c>
      <c r="D19" s="112" t="s">
        <v>94</v>
      </c>
      <c r="E19" s="5"/>
      <c r="F19" s="77"/>
      <c r="G19" s="25"/>
      <c r="H19" s="25"/>
      <c r="I19" s="25"/>
      <c r="J19" s="25"/>
      <c r="K19" s="25"/>
      <c r="L19" s="25"/>
      <c r="M19" s="97"/>
      <c r="N19" s="25"/>
      <c r="O19" s="25"/>
      <c r="P19" s="25"/>
      <c r="Q19" s="25"/>
      <c r="R19" s="25">
        <f t="shared" si="0"/>
        <v>0</v>
      </c>
      <c r="S19" s="17">
        <v>1304.3499999999999</v>
      </c>
      <c r="U19" s="17">
        <f t="shared" si="1"/>
        <v>-1304.3499999999999</v>
      </c>
      <c r="W19" s="77"/>
      <c r="X19" s="25"/>
      <c r="Y19" s="25"/>
      <c r="Z19" s="25"/>
      <c r="AA19" s="25"/>
      <c r="AB19" s="25"/>
      <c r="AC19" s="25"/>
      <c r="AD19" s="97"/>
      <c r="AE19" s="25"/>
      <c r="AF19" s="25"/>
      <c r="AG19" s="25"/>
      <c r="AH19" s="25"/>
      <c r="AI19" s="25">
        <f t="shared" si="2"/>
        <v>0</v>
      </c>
    </row>
    <row r="20" spans="1:35">
      <c r="A20" s="15"/>
      <c r="B20" s="15"/>
      <c r="C20" s="17">
        <v>4500</v>
      </c>
      <c r="D20" s="18" t="s">
        <v>10</v>
      </c>
      <c r="E20" s="5"/>
      <c r="F20" s="77"/>
      <c r="G20" s="25"/>
      <c r="H20" s="25">
        <v>1000</v>
      </c>
      <c r="I20" s="25"/>
      <c r="J20" s="25"/>
      <c r="K20" s="25"/>
      <c r="L20" s="25"/>
      <c r="M20" s="97"/>
      <c r="N20" s="25"/>
      <c r="O20" s="25"/>
      <c r="P20" s="25">
        <f>2672.4+2672.4+2586</f>
        <v>7930.8</v>
      </c>
      <c r="Q20" s="25">
        <v>1500</v>
      </c>
      <c r="R20" s="25">
        <f t="shared" si="0"/>
        <v>10430.799999999999</v>
      </c>
      <c r="S20" s="17">
        <v>6000</v>
      </c>
      <c r="U20" s="17">
        <f t="shared" si="1"/>
        <v>4430.7999999999993</v>
      </c>
      <c r="W20" s="77"/>
      <c r="X20" s="25"/>
      <c r="Y20" s="25"/>
      <c r="Z20" s="25"/>
      <c r="AA20" s="25"/>
      <c r="AB20" s="25"/>
      <c r="AC20" s="25"/>
      <c r="AD20" s="97"/>
      <c r="AE20" s="25"/>
      <c r="AF20" s="25"/>
      <c r="AG20" s="25"/>
      <c r="AH20" s="25"/>
      <c r="AI20" s="25">
        <v>12000</v>
      </c>
    </row>
    <row r="21" spans="1:35">
      <c r="A21" s="15"/>
      <c r="B21" s="15"/>
      <c r="C21" s="17">
        <v>0</v>
      </c>
      <c r="D21" s="18" t="s">
        <v>11</v>
      </c>
      <c r="E21" s="5"/>
      <c r="F21" s="77"/>
      <c r="G21" s="25"/>
      <c r="H21" s="25"/>
      <c r="I21" s="25"/>
      <c r="J21" s="25"/>
      <c r="K21" s="25"/>
      <c r="L21" s="25"/>
      <c r="M21" s="97"/>
      <c r="N21" s="25"/>
      <c r="O21" s="25"/>
      <c r="P21" s="25"/>
      <c r="Q21" s="25"/>
      <c r="R21" s="25">
        <f t="shared" si="0"/>
        <v>0</v>
      </c>
      <c r="S21" s="17"/>
      <c r="T21" s="19"/>
      <c r="U21" s="17">
        <f t="shared" si="1"/>
        <v>0</v>
      </c>
      <c r="W21" s="77"/>
      <c r="X21" s="25"/>
      <c r="Y21" s="25"/>
      <c r="Z21" s="25"/>
      <c r="AA21" s="25"/>
      <c r="AB21" s="25"/>
      <c r="AC21" s="25"/>
      <c r="AD21" s="97"/>
      <c r="AE21" s="25"/>
      <c r="AF21" s="25"/>
      <c r="AG21" s="25"/>
      <c r="AH21" s="25"/>
      <c r="AI21" s="25">
        <f t="shared" si="2"/>
        <v>0</v>
      </c>
    </row>
    <row r="22" spans="1:35" hidden="1">
      <c r="A22" s="15"/>
      <c r="B22" s="15"/>
      <c r="C22" s="17">
        <v>0</v>
      </c>
      <c r="D22" s="18" t="s">
        <v>50</v>
      </c>
      <c r="E22" s="5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9"/>
      <c r="U22" s="17">
        <f t="shared" si="1"/>
        <v>0</v>
      </c>
      <c r="W22" s="77"/>
      <c r="X22" s="25"/>
      <c r="Y22" s="25"/>
      <c r="Z22" s="25"/>
      <c r="AA22" s="25"/>
      <c r="AB22" s="25"/>
      <c r="AC22" s="25"/>
      <c r="AD22" s="97"/>
      <c r="AE22" s="25"/>
      <c r="AF22" s="25"/>
      <c r="AG22" s="25"/>
      <c r="AH22" s="25"/>
      <c r="AI22" s="25">
        <f t="shared" si="2"/>
        <v>0</v>
      </c>
    </row>
    <row r="23" spans="1:35">
      <c r="A23" s="15"/>
      <c r="B23" s="15"/>
      <c r="C23" s="56"/>
      <c r="D23" s="57"/>
      <c r="E23" s="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19"/>
      <c r="U23" s="56"/>
      <c r="V23" s="13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</row>
    <row r="24" spans="1:35">
      <c r="A24" s="15"/>
      <c r="B24" s="15"/>
      <c r="C24" s="17"/>
      <c r="D24" s="18"/>
      <c r="E24" s="5"/>
      <c r="F24" s="77"/>
      <c r="G24" s="25"/>
      <c r="H24" s="25"/>
      <c r="I24" s="25"/>
      <c r="J24" s="25"/>
      <c r="K24" s="25"/>
      <c r="L24" s="25"/>
      <c r="M24" s="97"/>
      <c r="N24" s="25"/>
      <c r="O24" s="25"/>
      <c r="P24" s="25"/>
      <c r="Q24" s="25"/>
      <c r="R24" s="25"/>
      <c r="S24" s="17"/>
      <c r="T24" s="19"/>
      <c r="U24" s="17">
        <f t="shared" si="1"/>
        <v>0</v>
      </c>
      <c r="W24" s="77"/>
      <c r="X24" s="25"/>
      <c r="Y24" s="25"/>
      <c r="Z24" s="25"/>
      <c r="AA24" s="25"/>
      <c r="AB24" s="25"/>
      <c r="AC24" s="25"/>
      <c r="AD24" s="97"/>
      <c r="AE24" s="25"/>
      <c r="AF24" s="25"/>
      <c r="AG24" s="25"/>
      <c r="AH24" s="25"/>
      <c r="AI24" s="25"/>
    </row>
    <row r="25" spans="1:35">
      <c r="A25" s="15"/>
      <c r="B25" s="15"/>
      <c r="C25" s="17">
        <v>85831.5</v>
      </c>
      <c r="D25" s="5" t="s">
        <v>12</v>
      </c>
      <c r="E25" s="5"/>
      <c r="F25" s="77"/>
      <c r="G25" s="25">
        <v>838.3</v>
      </c>
      <c r="H25" s="25">
        <v>2152</v>
      </c>
      <c r="I25" s="25">
        <v>1960</v>
      </c>
      <c r="J25" s="25">
        <v>5222</v>
      </c>
      <c r="K25" s="25">
        <v>23110</v>
      </c>
      <c r="L25" s="25">
        <v>33623</v>
      </c>
      <c r="M25" s="97">
        <v>25626</v>
      </c>
      <c r="N25" s="25">
        <v>1298</v>
      </c>
      <c r="O25" s="25">
        <v>17887.2</v>
      </c>
      <c r="P25" s="25">
        <v>4256</v>
      </c>
      <c r="Q25" s="25">
        <v>653.66999999999996</v>
      </c>
      <c r="R25" s="25">
        <f t="shared" ref="R25:R42" si="3">SUM(F25:Q25)</f>
        <v>116626.17</v>
      </c>
      <c r="S25" s="17">
        <v>74070</v>
      </c>
      <c r="T25" s="19"/>
      <c r="U25" s="17">
        <f t="shared" si="1"/>
        <v>42556.17</v>
      </c>
      <c r="W25" s="77"/>
      <c r="X25" s="25"/>
      <c r="Y25" s="25"/>
      <c r="Z25" s="25"/>
      <c r="AA25" s="25"/>
      <c r="AB25" s="25"/>
      <c r="AC25" s="25"/>
      <c r="AD25" s="97"/>
      <c r="AE25" s="25"/>
      <c r="AF25" s="25"/>
      <c r="AG25" s="25"/>
      <c r="AH25" s="25"/>
      <c r="AI25" s="25">
        <v>100000</v>
      </c>
    </row>
    <row r="26" spans="1:35">
      <c r="A26" s="15"/>
      <c r="B26" s="15"/>
      <c r="C26" s="17">
        <v>54361.250000000007</v>
      </c>
      <c r="D26" s="18" t="s">
        <v>13</v>
      </c>
      <c r="E26" s="5"/>
      <c r="F26" s="77"/>
      <c r="G26" s="25">
        <v>8888.25</v>
      </c>
      <c r="H26" s="25">
        <v>5858.65</v>
      </c>
      <c r="I26" s="25">
        <v>4681.05</v>
      </c>
      <c r="J26" s="25">
        <v>5165.5</v>
      </c>
      <c r="K26" s="25">
        <v>6905.15</v>
      </c>
      <c r="L26" s="25">
        <v>3258.6</v>
      </c>
      <c r="M26" s="97">
        <v>8689.65</v>
      </c>
      <c r="N26" s="25">
        <v>4612.05</v>
      </c>
      <c r="O26" s="25">
        <v>5884.5</v>
      </c>
      <c r="P26" s="25">
        <v>6081.03</v>
      </c>
      <c r="Q26" s="25">
        <v>4262.32</v>
      </c>
      <c r="R26" s="25">
        <f t="shared" si="3"/>
        <v>64286.75</v>
      </c>
      <c r="S26" s="17">
        <v>55521</v>
      </c>
      <c r="U26" s="17">
        <f t="shared" si="1"/>
        <v>8765.75</v>
      </c>
      <c r="W26" s="77"/>
      <c r="X26" s="25"/>
      <c r="Y26" s="25"/>
      <c r="Z26" s="25"/>
      <c r="AA26" s="25"/>
      <c r="AB26" s="25"/>
      <c r="AC26" s="25"/>
      <c r="AD26" s="97"/>
      <c r="AE26" s="25"/>
      <c r="AF26" s="25"/>
      <c r="AG26" s="25"/>
      <c r="AH26" s="25"/>
      <c r="AI26" s="25">
        <v>70000</v>
      </c>
    </row>
    <row r="27" spans="1:35">
      <c r="A27" s="15"/>
      <c r="B27" s="15"/>
      <c r="C27" s="17"/>
      <c r="D27" s="18"/>
      <c r="E27" s="5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U27" s="17">
        <f t="shared" si="1"/>
        <v>0</v>
      </c>
      <c r="W27" s="77"/>
      <c r="X27" s="25"/>
      <c r="Y27" s="25"/>
      <c r="Z27" s="25"/>
      <c r="AA27" s="25"/>
      <c r="AB27" s="25"/>
      <c r="AC27" s="25"/>
      <c r="AD27" s="97"/>
      <c r="AE27" s="25"/>
      <c r="AF27" s="25"/>
      <c r="AG27" s="25"/>
      <c r="AH27" s="25"/>
      <c r="AI27" s="25"/>
    </row>
    <row r="28" spans="1:35">
      <c r="A28" s="15"/>
      <c r="B28" s="15"/>
      <c r="C28" s="17"/>
      <c r="D28" s="57" t="s">
        <v>89</v>
      </c>
      <c r="E28" s="5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U28" s="17">
        <f t="shared" si="1"/>
        <v>0</v>
      </c>
      <c r="W28" s="77"/>
      <c r="X28" s="25"/>
      <c r="Y28" s="25"/>
      <c r="Z28" s="25"/>
      <c r="AA28" s="25"/>
      <c r="AB28" s="25"/>
      <c r="AC28" s="25"/>
      <c r="AD28" s="97"/>
      <c r="AE28" s="25"/>
      <c r="AF28" s="25"/>
      <c r="AG28" s="25"/>
      <c r="AH28" s="25"/>
      <c r="AI28" s="25"/>
    </row>
    <row r="29" spans="1:35">
      <c r="A29" s="15"/>
      <c r="B29" s="15"/>
      <c r="C29" s="17">
        <v>4150000</v>
      </c>
      <c r="D29" s="15" t="s">
        <v>95</v>
      </c>
      <c r="E29" s="5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si="3"/>
        <v>7130000</v>
      </c>
      <c r="S29" s="17"/>
      <c r="T29" s="84" t="s">
        <v>82</v>
      </c>
      <c r="U29" s="17"/>
      <c r="W29" s="25"/>
      <c r="X29" s="25"/>
      <c r="Y29" s="25"/>
      <c r="Z29" s="25"/>
      <c r="AA29" s="25"/>
      <c r="AB29" s="25"/>
      <c r="AC29" s="25"/>
      <c r="AD29" s="97"/>
      <c r="AE29" s="25"/>
      <c r="AF29" s="25"/>
      <c r="AG29" s="25"/>
      <c r="AH29" s="25"/>
      <c r="AI29" s="25">
        <v>8000000</v>
      </c>
    </row>
    <row r="30" spans="1:35">
      <c r="A30" s="15"/>
      <c r="B30" s="15"/>
      <c r="C30" s="17">
        <v>125000</v>
      </c>
      <c r="D30" s="15" t="s">
        <v>85</v>
      </c>
      <c r="E30" s="5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3"/>
        <v>833333.3</v>
      </c>
      <c r="S30" s="17">
        <v>1000000</v>
      </c>
      <c r="T30" s="84"/>
      <c r="U30" s="17"/>
      <c r="W30" s="25"/>
      <c r="X30" s="25"/>
      <c r="Y30" s="25"/>
      <c r="Z30" s="25"/>
      <c r="AA30" s="25"/>
      <c r="AB30" s="25"/>
      <c r="AC30" s="25"/>
      <c r="AD30" s="97"/>
      <c r="AE30" s="25"/>
      <c r="AF30" s="25"/>
      <c r="AG30" s="25"/>
      <c r="AH30" s="25"/>
      <c r="AI30" s="25">
        <v>10000000</v>
      </c>
    </row>
    <row r="31" spans="1:35">
      <c r="A31" s="15"/>
      <c r="B31" s="15"/>
      <c r="C31" s="17">
        <v>1050000</v>
      </c>
      <c r="D31" s="15" t="s">
        <v>86</v>
      </c>
      <c r="E31" s="5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3"/>
        <v>1000000</v>
      </c>
      <c r="S31" s="17">
        <v>1000000</v>
      </c>
      <c r="T31" s="84"/>
      <c r="U31" s="17"/>
      <c r="W31" s="25"/>
      <c r="X31" s="25"/>
      <c r="Y31" s="25"/>
      <c r="Z31" s="25"/>
      <c r="AA31" s="25"/>
      <c r="AB31" s="25"/>
      <c r="AC31" s="25"/>
      <c r="AD31" s="97"/>
      <c r="AE31" s="25"/>
      <c r="AF31" s="25"/>
      <c r="AG31" s="25"/>
      <c r="AH31" s="25"/>
      <c r="AI31" s="25">
        <v>1000000</v>
      </c>
    </row>
    <row r="32" spans="1:35">
      <c r="A32" s="15"/>
      <c r="B32" s="15"/>
      <c r="C32" s="17"/>
      <c r="D32" s="15" t="s">
        <v>87</v>
      </c>
      <c r="E32" s="5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3"/>
        <v>1000000</v>
      </c>
      <c r="S32" s="17"/>
      <c r="T32" s="84"/>
      <c r="U32" s="17"/>
      <c r="W32" s="25"/>
      <c r="X32" s="25"/>
      <c r="Y32" s="25"/>
      <c r="Z32" s="25"/>
      <c r="AA32" s="25"/>
      <c r="AB32" s="25"/>
      <c r="AC32" s="25"/>
      <c r="AD32" s="97"/>
      <c r="AE32" s="25"/>
      <c r="AF32" s="25"/>
      <c r="AG32" s="25"/>
      <c r="AH32" s="25"/>
      <c r="AI32" s="25">
        <f>SUM(W32:AH32)</f>
        <v>0</v>
      </c>
    </row>
    <row r="33" spans="1:35">
      <c r="A33" s="15"/>
      <c r="B33" s="15"/>
      <c r="C33" s="17"/>
      <c r="D33" s="15" t="s">
        <v>84</v>
      </c>
      <c r="E33" s="5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3"/>
        <v>100000</v>
      </c>
      <c r="S33" s="17"/>
      <c r="T33" s="84"/>
      <c r="U33" s="17"/>
      <c r="W33" s="25"/>
      <c r="X33" s="25"/>
      <c r="Y33" s="25"/>
      <c r="Z33" s="25"/>
      <c r="AA33" s="25"/>
      <c r="AB33" s="25"/>
      <c r="AC33" s="25"/>
      <c r="AD33" s="97"/>
      <c r="AE33" s="25"/>
      <c r="AF33" s="25"/>
      <c r="AG33" s="25"/>
      <c r="AH33" s="25"/>
      <c r="AI33" s="25">
        <f>SUM(W33:AH33)</f>
        <v>0</v>
      </c>
    </row>
    <row r="34" spans="1:35">
      <c r="A34" s="15"/>
      <c r="B34" s="15"/>
      <c r="C34" s="17">
        <v>5000000</v>
      </c>
      <c r="D34" s="15" t="s">
        <v>142</v>
      </c>
      <c r="E34" s="5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3"/>
        <v>7000000</v>
      </c>
      <c r="S34" s="17">
        <v>7000000</v>
      </c>
      <c r="T34" s="84" t="s">
        <v>81</v>
      </c>
      <c r="U34" s="17"/>
      <c r="W34" s="77"/>
      <c r="X34" s="25"/>
      <c r="Y34" s="25"/>
      <c r="Z34" s="25"/>
      <c r="AA34" s="25"/>
      <c r="AB34" s="25"/>
      <c r="AC34" s="25"/>
      <c r="AD34" s="97"/>
      <c r="AE34" s="25"/>
      <c r="AF34" s="25"/>
      <c r="AG34" s="25"/>
      <c r="AH34" s="25"/>
      <c r="AI34" s="25">
        <v>4262000</v>
      </c>
    </row>
    <row r="35" spans="1:35">
      <c r="A35" s="15"/>
      <c r="B35" s="15"/>
      <c r="C35" s="17">
        <v>800000</v>
      </c>
      <c r="D35" s="15" t="s">
        <v>91</v>
      </c>
      <c r="E35" s="5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>
        <f t="shared" si="3"/>
        <v>0</v>
      </c>
      <c r="S35" s="17"/>
      <c r="T35" s="84"/>
      <c r="U35" s="17"/>
      <c r="W35" s="77"/>
      <c r="X35" s="25"/>
      <c r="Y35" s="25"/>
      <c r="Z35" s="25"/>
      <c r="AA35" s="25"/>
      <c r="AB35" s="25"/>
      <c r="AC35" s="25"/>
      <c r="AD35" s="97"/>
      <c r="AE35" s="25"/>
      <c r="AF35" s="25"/>
      <c r="AG35" s="25"/>
      <c r="AH35" s="25"/>
      <c r="AI35" s="25">
        <f>SUM(W35:AH35)</f>
        <v>0</v>
      </c>
    </row>
    <row r="36" spans="1:35">
      <c r="A36" s="15"/>
      <c r="B36" s="15"/>
      <c r="C36" s="17">
        <v>50000</v>
      </c>
      <c r="D36" s="15" t="s">
        <v>88</v>
      </c>
      <c r="E36" s="5"/>
      <c r="F36" s="77"/>
      <c r="G36" s="25"/>
      <c r="H36" s="25">
        <v>25000</v>
      </c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3"/>
        <v>25000</v>
      </c>
      <c r="S36" s="17"/>
      <c r="T36" s="84"/>
      <c r="U36" s="17"/>
      <c r="W36" s="77"/>
      <c r="X36" s="25"/>
      <c r="Y36" s="25"/>
      <c r="Z36" s="25"/>
      <c r="AA36" s="25"/>
      <c r="AB36" s="25"/>
      <c r="AC36" s="25"/>
      <c r="AD36" s="97"/>
      <c r="AE36" s="25"/>
      <c r="AF36" s="25"/>
      <c r="AG36" s="25"/>
      <c r="AH36" s="25"/>
      <c r="AI36" s="25">
        <f>SUM(W36:AH36)</f>
        <v>0</v>
      </c>
    </row>
    <row r="37" spans="1:35">
      <c r="A37" s="15"/>
      <c r="B37" s="15"/>
      <c r="C37" s="17">
        <f>472250+800</f>
        <v>473050</v>
      </c>
      <c r="D37" s="15" t="s">
        <v>38</v>
      </c>
      <c r="E37" s="5"/>
      <c r="F37" s="77"/>
      <c r="G37" s="25"/>
      <c r="H37" s="25"/>
      <c r="I37" s="25"/>
      <c r="J37" s="25"/>
      <c r="K37" s="25"/>
      <c r="L37" s="25"/>
      <c r="M37" s="97"/>
      <c r="N37" s="25"/>
      <c r="O37" s="25"/>
      <c r="P37" s="25">
        <v>24900</v>
      </c>
      <c r="Q37" s="25"/>
      <c r="R37" s="25">
        <f t="shared" si="3"/>
        <v>24900</v>
      </c>
      <c r="S37" s="17">
        <f>12291334-9000000</f>
        <v>3291334</v>
      </c>
      <c r="T37" s="84"/>
      <c r="U37" s="17"/>
      <c r="W37" s="77"/>
      <c r="X37" s="25"/>
      <c r="Y37" s="25"/>
      <c r="Z37" s="25"/>
      <c r="AA37" s="25"/>
      <c r="AB37" s="25"/>
      <c r="AC37" s="25"/>
      <c r="AD37" s="97"/>
      <c r="AE37" s="25"/>
      <c r="AF37" s="25"/>
      <c r="AG37" s="25"/>
      <c r="AH37" s="25"/>
      <c r="AI37" s="25">
        <v>30000</v>
      </c>
    </row>
    <row r="38" spans="1:35">
      <c r="A38" s="15"/>
      <c r="B38" s="15"/>
      <c r="C38" s="76">
        <f>SUM(C29:C37)</f>
        <v>11648050</v>
      </c>
      <c r="D38" s="57" t="s">
        <v>90</v>
      </c>
      <c r="E38" s="5"/>
      <c r="F38" s="76">
        <f>SUM(F29:F37)</f>
        <v>8130000</v>
      </c>
      <c r="G38" s="76">
        <f t="shared" ref="G38:S38" si="4">SUM(G29:G37)</f>
        <v>500000</v>
      </c>
      <c r="H38" s="76">
        <f t="shared" si="4"/>
        <v>1025000</v>
      </c>
      <c r="I38" s="76">
        <f t="shared" si="4"/>
        <v>0</v>
      </c>
      <c r="J38" s="76">
        <f t="shared" si="4"/>
        <v>0</v>
      </c>
      <c r="K38" s="76">
        <f t="shared" si="4"/>
        <v>500000</v>
      </c>
      <c r="L38" s="76">
        <f t="shared" si="4"/>
        <v>0</v>
      </c>
      <c r="M38" s="76">
        <f t="shared" si="4"/>
        <v>1599999.98</v>
      </c>
      <c r="N38" s="76">
        <f t="shared" si="4"/>
        <v>2166666.66</v>
      </c>
      <c r="O38" s="76">
        <f t="shared" si="4"/>
        <v>1500000</v>
      </c>
      <c r="P38" s="76">
        <f t="shared" si="4"/>
        <v>1524900</v>
      </c>
      <c r="Q38" s="76">
        <f t="shared" si="4"/>
        <v>166666.66</v>
      </c>
      <c r="R38" s="76">
        <f t="shared" si="4"/>
        <v>17113233.300000001</v>
      </c>
      <c r="S38" s="76">
        <f t="shared" si="4"/>
        <v>12291334</v>
      </c>
      <c r="T38" s="84"/>
      <c r="U38" s="56">
        <f t="shared" si="1"/>
        <v>4821899.3000000007</v>
      </c>
      <c r="W38" s="76">
        <f>SUM(W29:W37)</f>
        <v>0</v>
      </c>
      <c r="X38" s="76">
        <f t="shared" ref="X38:AI38" si="5">SUM(X29:X37)</f>
        <v>0</v>
      </c>
      <c r="Y38" s="76">
        <f t="shared" si="5"/>
        <v>0</v>
      </c>
      <c r="Z38" s="76">
        <f t="shared" si="5"/>
        <v>0</v>
      </c>
      <c r="AA38" s="76">
        <f t="shared" si="5"/>
        <v>0</v>
      </c>
      <c r="AB38" s="76">
        <f t="shared" si="5"/>
        <v>0</v>
      </c>
      <c r="AC38" s="76">
        <f t="shared" si="5"/>
        <v>0</v>
      </c>
      <c r="AD38" s="76">
        <f t="shared" si="5"/>
        <v>0</v>
      </c>
      <c r="AE38" s="76">
        <f t="shared" si="5"/>
        <v>0</v>
      </c>
      <c r="AF38" s="76">
        <f t="shared" si="5"/>
        <v>0</v>
      </c>
      <c r="AG38" s="76">
        <f t="shared" si="5"/>
        <v>0</v>
      </c>
      <c r="AH38" s="76">
        <f t="shared" si="5"/>
        <v>0</v>
      </c>
      <c r="AI38" s="76">
        <f t="shared" si="5"/>
        <v>23292000</v>
      </c>
    </row>
    <row r="39" spans="1:35">
      <c r="A39" s="15"/>
      <c r="B39" s="15"/>
      <c r="C39" s="17"/>
      <c r="D39" s="5"/>
      <c r="E39" s="5"/>
      <c r="F39" s="77"/>
      <c r="G39" s="25"/>
      <c r="H39" s="25"/>
      <c r="I39" s="25"/>
      <c r="J39" s="25"/>
      <c r="K39" s="25"/>
      <c r="L39" s="25"/>
      <c r="M39" s="97"/>
      <c r="N39" s="25"/>
      <c r="O39" s="25"/>
      <c r="P39" s="25"/>
      <c r="Q39" s="25"/>
      <c r="R39" s="25"/>
      <c r="S39" s="17"/>
      <c r="T39" s="84"/>
      <c r="U39" s="17">
        <f t="shared" si="1"/>
        <v>0</v>
      </c>
      <c r="W39" s="77"/>
      <c r="X39" s="25"/>
      <c r="Y39" s="25"/>
      <c r="Z39" s="25"/>
      <c r="AA39" s="25"/>
      <c r="AB39" s="25"/>
      <c r="AC39" s="25"/>
      <c r="AD39" s="97"/>
      <c r="AE39" s="25"/>
      <c r="AF39" s="25"/>
      <c r="AG39" s="25"/>
      <c r="AH39" s="25"/>
      <c r="AI39" s="25"/>
    </row>
    <row r="40" spans="1:35" hidden="1">
      <c r="A40" s="15"/>
      <c r="B40" s="15"/>
      <c r="C40" s="17">
        <v>0</v>
      </c>
      <c r="D40" s="5" t="s">
        <v>69</v>
      </c>
      <c r="E40" s="5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>
        <f t="shared" si="3"/>
        <v>0</v>
      </c>
      <c r="S40" s="17"/>
      <c r="U40" s="17">
        <f t="shared" si="1"/>
        <v>0</v>
      </c>
      <c r="W40" s="77"/>
      <c r="X40" s="25"/>
      <c r="Y40" s="25"/>
      <c r="Z40" s="25"/>
      <c r="AA40" s="25"/>
      <c r="AB40" s="25"/>
      <c r="AC40" s="25"/>
      <c r="AD40" s="97"/>
      <c r="AE40" s="25"/>
      <c r="AF40" s="25"/>
      <c r="AG40" s="25"/>
      <c r="AH40" s="25"/>
      <c r="AI40" s="25">
        <f>SUM(W40:AH40)</f>
        <v>0</v>
      </c>
    </row>
    <row r="41" spans="1:35">
      <c r="A41" s="15"/>
      <c r="B41" s="15"/>
      <c r="C41" s="17">
        <v>270146.17</v>
      </c>
      <c r="D41" s="15" t="s">
        <v>79</v>
      </c>
      <c r="E41" s="5"/>
      <c r="F41" s="77"/>
      <c r="G41" s="25"/>
      <c r="H41" s="25"/>
      <c r="I41" s="25"/>
      <c r="J41" s="25"/>
      <c r="K41" s="25"/>
      <c r="L41" s="25"/>
      <c r="M41" s="97"/>
      <c r="N41" s="25"/>
      <c r="O41" s="25"/>
      <c r="P41" s="25"/>
      <c r="Q41" s="25"/>
      <c r="R41" s="25">
        <f t="shared" si="3"/>
        <v>0</v>
      </c>
      <c r="S41" s="17"/>
      <c r="U41" s="17">
        <f t="shared" si="1"/>
        <v>0</v>
      </c>
      <c r="W41" s="77"/>
      <c r="X41" s="25"/>
      <c r="Y41" s="25"/>
      <c r="Z41" s="25"/>
      <c r="AA41" s="25"/>
      <c r="AB41" s="25"/>
      <c r="AC41" s="25"/>
      <c r="AD41" s="97"/>
      <c r="AE41" s="25"/>
      <c r="AF41" s="25"/>
      <c r="AG41" s="25"/>
      <c r="AH41" s="25"/>
      <c r="AI41" s="25">
        <f>SUM(W41:AH41)</f>
        <v>0</v>
      </c>
    </row>
    <row r="42" spans="1:35">
      <c r="A42" s="15"/>
      <c r="B42" s="15"/>
      <c r="C42" s="17">
        <v>61315.78</v>
      </c>
      <c r="D42" s="5" t="s">
        <v>57</v>
      </c>
      <c r="E42" s="5"/>
      <c r="F42" s="77">
        <v>9635.51</v>
      </c>
      <c r="G42" s="25">
        <f>21066.91</f>
        <v>21066.91</v>
      </c>
      <c r="H42" s="25">
        <v>23888.57</v>
      </c>
      <c r="I42" s="25">
        <v>18751.509999999998</v>
      </c>
      <c r="J42" s="25">
        <v>15041.54</v>
      </c>
      <c r="K42" s="25">
        <v>9001.07</v>
      </c>
      <c r="L42" s="25">
        <v>4962.16</v>
      </c>
      <c r="M42" s="97">
        <f>-80+1890.52</f>
        <v>1810.52</v>
      </c>
      <c r="N42" s="25">
        <v>3195.76</v>
      </c>
      <c r="O42" s="25">
        <v>1557.7</v>
      </c>
      <c r="P42" s="25">
        <v>1286</v>
      </c>
      <c r="Q42" s="25">
        <v>2324.69</v>
      </c>
      <c r="R42" s="25">
        <f t="shared" si="3"/>
        <v>112521.94000000002</v>
      </c>
      <c r="S42" s="17">
        <v>34182</v>
      </c>
      <c r="T42" s="19"/>
      <c r="U42" s="17">
        <f t="shared" si="1"/>
        <v>78339.940000000017</v>
      </c>
      <c r="W42" s="78"/>
      <c r="X42" s="79"/>
      <c r="Y42" s="79"/>
      <c r="Z42" s="25"/>
      <c r="AA42" s="25"/>
      <c r="AB42" s="25"/>
      <c r="AC42" s="25"/>
      <c r="AD42" s="97"/>
      <c r="AE42" s="25"/>
      <c r="AF42" s="25"/>
      <c r="AG42" s="25"/>
      <c r="AH42" s="25"/>
      <c r="AI42" s="25">
        <f>SUM(W42:AH42)</f>
        <v>0</v>
      </c>
    </row>
    <row r="43" spans="1:35">
      <c r="A43" s="15"/>
      <c r="B43" s="15"/>
      <c r="C43" s="17"/>
      <c r="D43" s="15" t="s">
        <v>143</v>
      </c>
      <c r="E43" s="5"/>
      <c r="F43" s="78"/>
      <c r="G43" s="79"/>
      <c r="H43" s="79"/>
      <c r="I43" s="25"/>
      <c r="J43" s="25"/>
      <c r="K43" s="25"/>
      <c r="L43" s="25"/>
      <c r="M43" s="97"/>
      <c r="N43" s="25"/>
      <c r="O43" s="25"/>
      <c r="P43" s="25"/>
      <c r="Q43" s="25"/>
      <c r="R43" s="25"/>
      <c r="S43" s="20"/>
      <c r="T43" s="19"/>
      <c r="U43" s="17"/>
      <c r="W43" s="78"/>
      <c r="X43" s="79"/>
      <c r="Y43" s="79"/>
      <c r="Z43" s="25"/>
      <c r="AA43" s="25"/>
      <c r="AB43" s="25"/>
      <c r="AC43" s="25"/>
      <c r="AD43" s="97"/>
      <c r="AE43" s="25"/>
      <c r="AF43" s="25"/>
      <c r="AG43" s="25"/>
      <c r="AH43" s="25"/>
      <c r="AI43" s="25">
        <v>6000000</v>
      </c>
    </row>
    <row r="44" spans="1:35">
      <c r="A44" s="15"/>
      <c r="B44" s="15"/>
      <c r="C44" s="140">
        <v>13277748.549999999</v>
      </c>
      <c r="D44" s="141" t="s">
        <v>135</v>
      </c>
      <c r="E44" s="142"/>
      <c r="F44" s="140">
        <f t="shared" ref="F44:Q44" si="6">SUM(F12:F22)+F25+F26+F42+F40+F38</f>
        <v>8167645.5099999998</v>
      </c>
      <c r="G44" s="140">
        <f t="shared" si="6"/>
        <v>573815.46</v>
      </c>
      <c r="H44" s="140">
        <f t="shared" si="6"/>
        <v>1098074.22</v>
      </c>
      <c r="I44" s="140">
        <f t="shared" si="6"/>
        <v>79818.559999999998</v>
      </c>
      <c r="J44" s="140">
        <f t="shared" si="6"/>
        <v>60193.52</v>
      </c>
      <c r="K44" s="140">
        <f t="shared" si="6"/>
        <v>558931.22</v>
      </c>
      <c r="L44" s="140">
        <f t="shared" si="6"/>
        <v>67943.06</v>
      </c>
      <c r="M44" s="140">
        <f t="shared" si="6"/>
        <v>1678756.94</v>
      </c>
      <c r="N44" s="140">
        <f t="shared" si="6"/>
        <v>2298055.4700000002</v>
      </c>
      <c r="O44" s="140">
        <f t="shared" si="6"/>
        <v>1603494.15</v>
      </c>
      <c r="P44" s="140">
        <f t="shared" si="6"/>
        <v>1595826.23</v>
      </c>
      <c r="Q44" s="140">
        <f t="shared" si="6"/>
        <v>330446.27</v>
      </c>
      <c r="R44" s="140">
        <f>SUM(R12:R22)+R25+R26+R42+R40+R38-7397</f>
        <v>18105603.609999999</v>
      </c>
      <c r="S44" s="140">
        <f>SUM(S12:S22)+S25+S26+S42+S40+S38</f>
        <v>13624292.35</v>
      </c>
      <c r="T44" s="143"/>
      <c r="U44" s="140">
        <f>SUM(U12:U22)+U25+U26+U42+U40+U38</f>
        <v>4488708.2600000007</v>
      </c>
      <c r="W44" s="140">
        <f>SUM(W12:W22)+W25+W26+W42+W40+W38</f>
        <v>0</v>
      </c>
      <c r="X44" s="140">
        <f>SUM(X12:X22)+X25+X26+X42+X40+X38</f>
        <v>0</v>
      </c>
      <c r="Y44" s="140">
        <f t="shared" ref="Y44:AH44" si="7">SUM(Y12:Y22)+Y25+Y26+Y42+Y40+Y38</f>
        <v>0</v>
      </c>
      <c r="Z44" s="140">
        <f t="shared" si="7"/>
        <v>0</v>
      </c>
      <c r="AA44" s="140">
        <f t="shared" si="7"/>
        <v>0</v>
      </c>
      <c r="AB44" s="140">
        <f t="shared" si="7"/>
        <v>0</v>
      </c>
      <c r="AC44" s="140">
        <f t="shared" si="7"/>
        <v>0</v>
      </c>
      <c r="AD44" s="140">
        <f t="shared" si="7"/>
        <v>0</v>
      </c>
      <c r="AE44" s="140">
        <f t="shared" si="7"/>
        <v>0</v>
      </c>
      <c r="AF44" s="140">
        <f t="shared" si="7"/>
        <v>0</v>
      </c>
      <c r="AG44" s="140">
        <f t="shared" si="7"/>
        <v>0</v>
      </c>
      <c r="AH44" s="140">
        <f t="shared" si="7"/>
        <v>0</v>
      </c>
      <c r="AI44" s="140">
        <f>SUM(AI12:AI22)+AI25+AI26+AI42+AI40+AI38+AI43</f>
        <v>30409000</v>
      </c>
    </row>
    <row r="45" spans="1:35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T46" s="19"/>
      <c r="U46" s="4"/>
      <c r="W46" s="21"/>
      <c r="X46" s="13"/>
      <c r="Y46" s="13"/>
      <c r="Z46" s="13"/>
      <c r="AA46" s="13"/>
      <c r="AB46" s="13"/>
      <c r="AC46" s="13"/>
      <c r="AD46" s="106"/>
      <c r="AE46" s="13"/>
      <c r="AF46" s="13"/>
      <c r="AG46" s="13"/>
      <c r="AH46" s="13"/>
      <c r="AI46" s="13"/>
    </row>
    <row r="47" spans="1:35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14"/>
      <c r="W47" s="22"/>
      <c r="X47" s="12"/>
      <c r="Y47" s="12"/>
      <c r="Z47" s="12"/>
      <c r="AA47" s="12"/>
      <c r="AB47" s="12"/>
      <c r="AC47" s="12"/>
      <c r="AD47" s="107"/>
      <c r="AE47" s="12"/>
      <c r="AF47" s="12"/>
      <c r="AG47" s="12"/>
      <c r="AH47" s="12"/>
      <c r="AI47" s="12"/>
    </row>
    <row r="48" spans="1:35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8">SUM(F48:Q48)</f>
        <v>535456.20500000007</v>
      </c>
      <c r="S48" s="17">
        <v>539740</v>
      </c>
      <c r="T48" t="s">
        <v>64</v>
      </c>
      <c r="U48" s="17">
        <f t="shared" ref="U48:U61" si="9">+R48-S48</f>
        <v>-4283.7949999999255</v>
      </c>
      <c r="W48" s="24">
        <f t="shared" ref="W48:AH48" si="10">23378.88*2</f>
        <v>46757.760000000002</v>
      </c>
      <c r="X48" s="24">
        <f t="shared" si="10"/>
        <v>46757.760000000002</v>
      </c>
      <c r="Y48" s="24">
        <f t="shared" si="10"/>
        <v>46757.760000000002</v>
      </c>
      <c r="Z48" s="24">
        <f t="shared" si="10"/>
        <v>46757.760000000002</v>
      </c>
      <c r="AA48" s="24">
        <f t="shared" si="10"/>
        <v>46757.760000000002</v>
      </c>
      <c r="AB48" s="24">
        <f t="shared" si="10"/>
        <v>46757.760000000002</v>
      </c>
      <c r="AC48" s="24">
        <f t="shared" si="10"/>
        <v>46757.760000000002</v>
      </c>
      <c r="AD48" s="24">
        <f t="shared" si="10"/>
        <v>46757.760000000002</v>
      </c>
      <c r="AE48" s="24">
        <f t="shared" si="10"/>
        <v>46757.760000000002</v>
      </c>
      <c r="AF48" s="24">
        <f t="shared" si="10"/>
        <v>46757.760000000002</v>
      </c>
      <c r="AG48" s="24">
        <f t="shared" si="10"/>
        <v>46757.760000000002</v>
      </c>
      <c r="AH48" s="24">
        <f t="shared" si="10"/>
        <v>46757.760000000002</v>
      </c>
      <c r="AI48" s="16">
        <f t="shared" ref="AI48:AI61" si="11">SUM(W48:AH48)</f>
        <v>561093.12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8"/>
        <v>14985.6</v>
      </c>
      <c r="S49" s="17">
        <v>14986</v>
      </c>
      <c r="U49" s="17">
        <f t="shared" si="9"/>
        <v>-0.3999999999996362</v>
      </c>
      <c r="W49" s="24"/>
      <c r="X49" s="16"/>
      <c r="Y49" s="16"/>
      <c r="Z49" s="16"/>
      <c r="AA49" s="16"/>
      <c r="AB49" s="16"/>
      <c r="AC49" s="16"/>
      <c r="AD49" s="96"/>
      <c r="AE49" s="16"/>
      <c r="AF49" s="16"/>
      <c r="AG49" s="16"/>
      <c r="AH49" s="96">
        <v>21820</v>
      </c>
      <c r="AI49" s="16">
        <f t="shared" si="11"/>
        <v>21820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8"/>
        <v>44978.85</v>
      </c>
      <c r="S50" s="17">
        <v>44979</v>
      </c>
      <c r="U50" s="17">
        <f t="shared" si="9"/>
        <v>-0.15000000000145519</v>
      </c>
      <c r="W50" s="24"/>
      <c r="X50" s="16"/>
      <c r="Y50" s="16"/>
      <c r="Z50" s="16"/>
      <c r="AA50" s="16"/>
      <c r="AB50" s="16"/>
      <c r="AC50" s="16"/>
      <c r="AD50" s="96"/>
      <c r="AE50" s="16"/>
      <c r="AF50" s="16"/>
      <c r="AG50" s="16"/>
      <c r="AH50" s="25">
        <v>46758</v>
      </c>
      <c r="AI50" s="16">
        <f t="shared" si="11"/>
        <v>46758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8"/>
        <v>0</v>
      </c>
      <c r="S51" s="17"/>
      <c r="U51" s="17">
        <f t="shared" si="9"/>
        <v>0</v>
      </c>
      <c r="W51" s="24"/>
      <c r="X51" s="16"/>
      <c r="Y51" s="16"/>
      <c r="Z51" s="16"/>
      <c r="AA51" s="16"/>
      <c r="AB51" s="16"/>
      <c r="AC51" s="16"/>
      <c r="AD51" s="96"/>
      <c r="AE51" s="16"/>
      <c r="AF51" s="16"/>
      <c r="AG51" s="16"/>
      <c r="AH51" s="16"/>
      <c r="AI51" s="16">
        <f t="shared" si="11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8"/>
        <v>95868.332000000009</v>
      </c>
      <c r="S52" s="17">
        <v>93448</v>
      </c>
      <c r="U52" s="17">
        <f t="shared" si="9"/>
        <v>2420.3320000000094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5">
        <v>14834</v>
      </c>
      <c r="AE52" s="24">
        <v>3446</v>
      </c>
      <c r="AF52" s="25">
        <v>14834</v>
      </c>
      <c r="AG52" s="24">
        <v>3446</v>
      </c>
      <c r="AH52" s="25">
        <v>14834</v>
      </c>
      <c r="AI52" s="16">
        <f t="shared" si="11"/>
        <v>109680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8"/>
        <v>2000</v>
      </c>
      <c r="S53" s="17">
        <v>15000</v>
      </c>
      <c r="U53" s="17">
        <f t="shared" si="9"/>
        <v>-13000</v>
      </c>
      <c r="W53" s="24">
        <f>+(F53*5%)+F53</f>
        <v>0</v>
      </c>
      <c r="X53" s="24">
        <f t="shared" ref="X53:AH61" si="12">+(G53*5%)+G53</f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">
        <f t="shared" si="12"/>
        <v>0</v>
      </c>
      <c r="AE53" s="24">
        <f t="shared" si="12"/>
        <v>0</v>
      </c>
      <c r="AF53" s="24">
        <f t="shared" si="12"/>
        <v>0</v>
      </c>
      <c r="AG53" s="24">
        <f t="shared" si="12"/>
        <v>2100</v>
      </c>
      <c r="AH53" s="24">
        <f t="shared" si="12"/>
        <v>0</v>
      </c>
      <c r="AI53" s="16">
        <f t="shared" si="11"/>
        <v>2100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8"/>
        <v>5556.87</v>
      </c>
      <c r="S54" s="17">
        <v>5064</v>
      </c>
      <c r="T54" s="19"/>
      <c r="U54" s="17">
        <f t="shared" si="9"/>
        <v>492.86999999999989</v>
      </c>
      <c r="W54" s="24">
        <f t="shared" ref="W54:W61" si="13">+(F54*5%)+F54</f>
        <v>0</v>
      </c>
      <c r="X54" s="24">
        <f t="shared" si="12"/>
        <v>851.77050000000008</v>
      </c>
      <c r="Y54" s="24">
        <f t="shared" si="12"/>
        <v>351.51899999999995</v>
      </c>
      <c r="Z54" s="24">
        <f t="shared" si="12"/>
        <v>708.64499999999998</v>
      </c>
      <c r="AA54" s="24">
        <f t="shared" si="12"/>
        <v>553.45500000000004</v>
      </c>
      <c r="AB54" s="24">
        <f t="shared" si="12"/>
        <v>346.96199999999999</v>
      </c>
      <c r="AC54" s="24">
        <f t="shared" si="12"/>
        <v>677.50199999999995</v>
      </c>
      <c r="AD54" s="24">
        <f t="shared" si="12"/>
        <v>1070.0864999999999</v>
      </c>
      <c r="AE54" s="24">
        <f t="shared" si="12"/>
        <v>0</v>
      </c>
      <c r="AF54" s="24">
        <f t="shared" si="12"/>
        <v>415.76850000000002</v>
      </c>
      <c r="AG54" s="24">
        <f t="shared" si="12"/>
        <v>405.94050000000004</v>
      </c>
      <c r="AH54" s="24">
        <f t="shared" si="12"/>
        <v>453.06450000000001</v>
      </c>
      <c r="AI54" s="16">
        <f t="shared" si="11"/>
        <v>5834.7135000000007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8"/>
        <v>2146.0333333333333</v>
      </c>
      <c r="S55" s="17">
        <v>1530</v>
      </c>
      <c r="T55" s="19"/>
      <c r="U55" s="17">
        <f t="shared" si="9"/>
        <v>616.0333333333333</v>
      </c>
      <c r="W55" s="24">
        <f t="shared" si="13"/>
        <v>0</v>
      </c>
      <c r="X55" s="24">
        <f t="shared" si="12"/>
        <v>370.125</v>
      </c>
      <c r="Y55" s="24">
        <f t="shared" si="12"/>
        <v>0</v>
      </c>
      <c r="Z55" s="24">
        <f t="shared" si="12"/>
        <v>617.08500000000004</v>
      </c>
      <c r="AA55" s="24">
        <f t="shared" si="12"/>
        <v>874.125</v>
      </c>
      <c r="AB55" s="24">
        <f t="shared" si="12"/>
        <v>0</v>
      </c>
      <c r="AC55" s="24">
        <f t="shared" si="12"/>
        <v>0</v>
      </c>
      <c r="AD55" s="24">
        <f t="shared" si="12"/>
        <v>0</v>
      </c>
      <c r="AE55" s="24">
        <f t="shared" si="12"/>
        <v>0</v>
      </c>
      <c r="AF55" s="24">
        <f t="shared" si="12"/>
        <v>0</v>
      </c>
      <c r="AG55" s="24">
        <f t="shared" si="12"/>
        <v>0</v>
      </c>
      <c r="AH55" s="24">
        <f t="shared" si="12"/>
        <v>392</v>
      </c>
      <c r="AI55" s="16">
        <f t="shared" si="11"/>
        <v>2253.335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8"/>
        <v>935.1</v>
      </c>
      <c r="S56" s="17"/>
      <c r="T56" s="19"/>
      <c r="U56" s="17">
        <f t="shared" si="9"/>
        <v>935.1</v>
      </c>
      <c r="W56" s="24">
        <v>0</v>
      </c>
      <c r="X56" s="24">
        <f t="shared" si="12"/>
        <v>0</v>
      </c>
      <c r="Y56" s="24">
        <f t="shared" si="12"/>
        <v>0</v>
      </c>
      <c r="Z56" s="24">
        <f t="shared" si="12"/>
        <v>0</v>
      </c>
      <c r="AA56" s="24">
        <f t="shared" si="12"/>
        <v>0</v>
      </c>
      <c r="AB56" s="24">
        <f t="shared" si="12"/>
        <v>0</v>
      </c>
      <c r="AC56" s="24">
        <f t="shared" si="12"/>
        <v>0</v>
      </c>
      <c r="AD56" s="24">
        <f t="shared" si="12"/>
        <v>0</v>
      </c>
      <c r="AE56" s="24">
        <f t="shared" si="12"/>
        <v>0</v>
      </c>
      <c r="AF56" s="24">
        <f t="shared" si="12"/>
        <v>0</v>
      </c>
      <c r="AG56" s="24">
        <f t="shared" si="12"/>
        <v>0</v>
      </c>
      <c r="AH56" s="24">
        <f t="shared" si="12"/>
        <v>0</v>
      </c>
      <c r="AI56" s="16">
        <f t="shared" si="11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8"/>
        <v>0</v>
      </c>
      <c r="S57" s="17">
        <v>11878</v>
      </c>
      <c r="U57" s="17">
        <f t="shared" si="9"/>
        <v>-11878</v>
      </c>
      <c r="W57" s="24">
        <f t="shared" si="13"/>
        <v>0</v>
      </c>
      <c r="X57" s="24">
        <f t="shared" si="12"/>
        <v>0</v>
      </c>
      <c r="Y57" s="24">
        <f t="shared" si="12"/>
        <v>0</v>
      </c>
      <c r="Z57" s="24">
        <f t="shared" si="12"/>
        <v>0</v>
      </c>
      <c r="AA57" s="24">
        <f t="shared" si="12"/>
        <v>0</v>
      </c>
      <c r="AB57" s="24">
        <f t="shared" si="12"/>
        <v>0</v>
      </c>
      <c r="AC57" s="24">
        <f t="shared" si="12"/>
        <v>0</v>
      </c>
      <c r="AD57" s="24">
        <f t="shared" si="12"/>
        <v>0</v>
      </c>
      <c r="AE57" s="24">
        <f t="shared" si="12"/>
        <v>0</v>
      </c>
      <c r="AF57" s="24">
        <f t="shared" si="12"/>
        <v>0</v>
      </c>
      <c r="AG57" s="24">
        <f t="shared" si="12"/>
        <v>0</v>
      </c>
      <c r="AH57" s="24">
        <f t="shared" si="12"/>
        <v>0</v>
      </c>
      <c r="AI57" s="16">
        <f t="shared" si="11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8"/>
        <v>59982.119999999995</v>
      </c>
      <c r="S58" s="17">
        <v>33458</v>
      </c>
      <c r="U58" s="132">
        <f t="shared" si="9"/>
        <v>26524.119999999995</v>
      </c>
      <c r="V58" s="115" t="s">
        <v>113</v>
      </c>
      <c r="W58" s="24">
        <f t="shared" si="13"/>
        <v>0</v>
      </c>
      <c r="X58" s="24">
        <f t="shared" si="12"/>
        <v>0</v>
      </c>
      <c r="Y58" s="24">
        <f t="shared" si="12"/>
        <v>3708.5054999999998</v>
      </c>
      <c r="Z58" s="24">
        <f t="shared" si="12"/>
        <v>6491.8035</v>
      </c>
      <c r="AA58" s="24">
        <f t="shared" si="12"/>
        <v>0</v>
      </c>
      <c r="AB58" s="24">
        <f t="shared" si="12"/>
        <v>18950.5785</v>
      </c>
      <c r="AC58" s="24">
        <f t="shared" si="12"/>
        <v>6195</v>
      </c>
      <c r="AD58" s="24">
        <f t="shared" si="12"/>
        <v>13464.339</v>
      </c>
      <c r="AE58" s="24">
        <f t="shared" si="12"/>
        <v>5361.3</v>
      </c>
      <c r="AF58" s="24">
        <f t="shared" si="12"/>
        <v>666.75</v>
      </c>
      <c r="AG58" s="24">
        <f t="shared" si="12"/>
        <v>2983.8584999999998</v>
      </c>
      <c r="AH58" s="24">
        <f t="shared" si="12"/>
        <v>5159.0910000000003</v>
      </c>
      <c r="AI58" s="16">
        <f t="shared" si="11"/>
        <v>62981.226000000002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8"/>
        <v>6192.29</v>
      </c>
      <c r="S59" s="17"/>
      <c r="U59" s="132">
        <f t="shared" si="9"/>
        <v>6192.29</v>
      </c>
      <c r="V59" s="115" t="s">
        <v>114</v>
      </c>
      <c r="W59" s="24">
        <f t="shared" si="13"/>
        <v>0</v>
      </c>
      <c r="X59" s="24">
        <f t="shared" si="12"/>
        <v>6501.9044999999996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  <c r="AH59" s="24">
        <f t="shared" si="12"/>
        <v>0</v>
      </c>
      <c r="AI59" s="16">
        <f t="shared" si="11"/>
        <v>6501.9044999999996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8"/>
        <v>0</v>
      </c>
      <c r="S60" s="17">
        <v>801</v>
      </c>
      <c r="U60" s="17">
        <f t="shared" si="9"/>
        <v>-801</v>
      </c>
      <c r="W60" s="24">
        <f t="shared" si="13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  <c r="AH60" s="24">
        <f t="shared" si="12"/>
        <v>0</v>
      </c>
      <c r="AI60" s="16">
        <f t="shared" si="11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8"/>
        <v>0</v>
      </c>
      <c r="S61" s="20"/>
      <c r="U61" s="17">
        <f t="shared" si="9"/>
        <v>0</v>
      </c>
      <c r="W61" s="24">
        <f t="shared" si="13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  <c r="AH61" s="24">
        <f t="shared" si="12"/>
        <v>0</v>
      </c>
      <c r="AI61" s="16">
        <f t="shared" si="11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14">SUM(K48:K61)</f>
        <v>66399.86</v>
      </c>
      <c r="L62" s="140">
        <f t="shared" si="14"/>
        <v>64313.049999999996</v>
      </c>
      <c r="M62" s="140">
        <f t="shared" si="14"/>
        <v>61518.46</v>
      </c>
      <c r="N62" s="140">
        <f t="shared" si="14"/>
        <v>63035.57</v>
      </c>
      <c r="O62" s="140">
        <f t="shared" si="14"/>
        <v>48584.93</v>
      </c>
      <c r="P62" s="140">
        <f t="shared" si="14"/>
        <v>62784.42</v>
      </c>
      <c r="Q62" s="140">
        <f t="shared" si="14"/>
        <v>119320.55033333333</v>
      </c>
      <c r="R62" s="140">
        <f t="shared" si="14"/>
        <v>768101.40033333341</v>
      </c>
      <c r="S62" s="140">
        <f t="shared" si="14"/>
        <v>760884</v>
      </c>
      <c r="T62" s="146"/>
      <c r="U62" s="140">
        <f>SUM(U48:U61)</f>
        <v>7217.4003333334103</v>
      </c>
      <c r="W62" s="140">
        <f>SUM(W48:W58)</f>
        <v>50203.76</v>
      </c>
      <c r="X62" s="140">
        <f>SUM(X48:X61)</f>
        <v>69315.56</v>
      </c>
      <c r="Y62" s="140">
        <f>SUM(Y48:Y61)</f>
        <v>54263.784500000002</v>
      </c>
      <c r="Z62" s="140">
        <f>SUM(Z48:Z61)</f>
        <v>69409.2935</v>
      </c>
      <c r="AA62" s="140">
        <f>SUM(AA48:AA61)</f>
        <v>51631.340000000004</v>
      </c>
      <c r="AB62" s="140">
        <f t="shared" ref="AB62:AI62" si="15">SUM(AB48:AB61)</f>
        <v>80889.300499999998</v>
      </c>
      <c r="AC62" s="140">
        <f t="shared" si="15"/>
        <v>57076.262000000002</v>
      </c>
      <c r="AD62" s="140">
        <f t="shared" si="15"/>
        <v>76126.185499999992</v>
      </c>
      <c r="AE62" s="140">
        <f t="shared" si="15"/>
        <v>55565.060000000005</v>
      </c>
      <c r="AF62" s="140">
        <f t="shared" si="15"/>
        <v>62674.2785</v>
      </c>
      <c r="AG62" s="140">
        <f t="shared" si="15"/>
        <v>55693.559000000001</v>
      </c>
      <c r="AH62" s="140">
        <f t="shared" si="15"/>
        <v>136173.9155</v>
      </c>
      <c r="AI62" s="140">
        <f t="shared" si="15"/>
        <v>819022.29899999988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4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4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14"/>
      <c r="W65" s="27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12"/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16">SUM(F66:Q66)</f>
        <v>4960818.1919999998</v>
      </c>
      <c r="S66" s="17">
        <v>4907881.7040000008</v>
      </c>
      <c r="T66" s="19"/>
      <c r="U66" s="132">
        <f t="shared" ref="U66:U108" si="17">+R66-S66</f>
        <v>52936.487999998964</v>
      </c>
      <c r="V66" s="115" t="s">
        <v>110</v>
      </c>
      <c r="W66" s="24">
        <f>190672+234455</f>
        <v>425127</v>
      </c>
      <c r="X66" s="24">
        <f>190672+234455</f>
        <v>425127</v>
      </c>
      <c r="Y66" s="24">
        <f>238340+234455</f>
        <v>472795</v>
      </c>
      <c r="Z66" s="24">
        <f>190672+234455</f>
        <v>425127</v>
      </c>
      <c r="AA66" s="24">
        <f>190672+234455</f>
        <v>425127</v>
      </c>
      <c r="AB66" s="24">
        <f>238340+234455</f>
        <v>472795</v>
      </c>
      <c r="AC66" s="24">
        <f>190672+234455</f>
        <v>425127</v>
      </c>
      <c r="AD66" s="24">
        <f>190672+234455</f>
        <v>425127</v>
      </c>
      <c r="AE66" s="24">
        <f>238340+234455</f>
        <v>472795</v>
      </c>
      <c r="AF66" s="24">
        <f>190672+234455</f>
        <v>425127</v>
      </c>
      <c r="AG66" s="24">
        <f>190672+234455</f>
        <v>425127</v>
      </c>
      <c r="AH66" s="24">
        <f>238340+234455</f>
        <v>472795</v>
      </c>
      <c r="AI66" s="16">
        <f t="shared" ref="AI66:AI83" si="18">SUM(W66:AH66)</f>
        <v>5292196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16"/>
        <v>312135.80499999993</v>
      </c>
      <c r="S67" s="17">
        <v>315014.69999999995</v>
      </c>
      <c r="T67" s="19"/>
      <c r="U67" s="17">
        <f t="shared" si="17"/>
        <v>-2878.8950000000186</v>
      </c>
      <c r="W67" s="24">
        <f>(9800+2500)*2</f>
        <v>24600</v>
      </c>
      <c r="X67" s="24">
        <f t="shared" ref="X67:AH67" si="19">(9800+2500)*2</f>
        <v>24600</v>
      </c>
      <c r="Y67" s="24">
        <f t="shared" si="19"/>
        <v>24600</v>
      </c>
      <c r="Z67" s="24">
        <f t="shared" si="19"/>
        <v>24600</v>
      </c>
      <c r="AA67" s="24">
        <f>((9800+2500)*2)+9840</f>
        <v>34440</v>
      </c>
      <c r="AB67" s="24">
        <f t="shared" si="19"/>
        <v>24600</v>
      </c>
      <c r="AC67" s="24">
        <f t="shared" si="19"/>
        <v>24600</v>
      </c>
      <c r="AD67" s="24">
        <f t="shared" si="19"/>
        <v>24600</v>
      </c>
      <c r="AE67" s="24">
        <f t="shared" si="19"/>
        <v>24600</v>
      </c>
      <c r="AF67" s="24">
        <f t="shared" si="19"/>
        <v>24600</v>
      </c>
      <c r="AG67" s="24">
        <f t="shared" si="19"/>
        <v>24600</v>
      </c>
      <c r="AH67" s="24">
        <f t="shared" si="19"/>
        <v>24600</v>
      </c>
      <c r="AI67" s="16">
        <f t="shared" si="18"/>
        <v>305040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16"/>
        <v>195451.6635</v>
      </c>
      <c r="S68" s="17">
        <v>145951.96699999998</v>
      </c>
      <c r="U68" s="132">
        <f t="shared" si="17"/>
        <v>49499.69650000002</v>
      </c>
      <c r="V68" s="115" t="s">
        <v>111</v>
      </c>
      <c r="W68" s="24">
        <v>0</v>
      </c>
      <c r="X68" s="16">
        <v>3348.9709000000003</v>
      </c>
      <c r="Y68" s="16">
        <v>25029.71675</v>
      </c>
      <c r="Z68" s="16">
        <v>4986.2465000000002</v>
      </c>
      <c r="AA68" s="16">
        <v>9747.5142500000002</v>
      </c>
      <c r="AB68" s="16">
        <v>19239.13825</v>
      </c>
      <c r="AC68" s="16">
        <v>39916.178199999995</v>
      </c>
      <c r="AD68" s="96">
        <v>53000.499200000006</v>
      </c>
      <c r="AE68" s="16">
        <v>17284.592499999999</v>
      </c>
      <c r="AF68" s="25">
        <v>23529.06365</v>
      </c>
      <c r="AG68" s="16">
        <v>2143.3379999999997</v>
      </c>
      <c r="AH68" s="25">
        <v>7976.2467925000019</v>
      </c>
      <c r="AI68" s="16">
        <v>206201.50499250001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16"/>
        <v>360332.39800000004</v>
      </c>
      <c r="S69" s="17">
        <v>358121.35800000007</v>
      </c>
      <c r="U69" s="17">
        <f t="shared" si="17"/>
        <v>2211.039999999979</v>
      </c>
      <c r="W69" s="24"/>
      <c r="X69" s="16"/>
      <c r="Y69" s="16"/>
      <c r="Z69" s="16"/>
      <c r="AA69" s="16"/>
      <c r="AB69" s="16"/>
      <c r="AC69" s="16"/>
      <c r="AD69" s="96"/>
      <c r="AE69" s="16"/>
      <c r="AF69" s="16"/>
      <c r="AG69" s="16"/>
      <c r="AH69" s="98">
        <v>438744</v>
      </c>
      <c r="AI69" s="16">
        <f t="shared" si="18"/>
        <v>438744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16"/>
        <v>13488</v>
      </c>
      <c r="S70" s="17">
        <v>17488</v>
      </c>
      <c r="U70" s="17">
        <f t="shared" si="17"/>
        <v>-4000</v>
      </c>
      <c r="W70" s="24">
        <f>+(F70*5%)+F70</f>
        <v>0</v>
      </c>
      <c r="X70" s="24">
        <f t="shared" ref="X70:AH70" si="20">+(G70*5%)+G70</f>
        <v>0</v>
      </c>
      <c r="Y70" s="24">
        <f t="shared" si="20"/>
        <v>0</v>
      </c>
      <c r="Z70" s="24">
        <f t="shared" si="20"/>
        <v>0</v>
      </c>
      <c r="AA70" s="24">
        <f t="shared" si="20"/>
        <v>0</v>
      </c>
      <c r="AB70" s="24">
        <f t="shared" si="20"/>
        <v>0</v>
      </c>
      <c r="AC70" s="24">
        <f t="shared" si="20"/>
        <v>1050</v>
      </c>
      <c r="AD70" s="24">
        <f t="shared" si="20"/>
        <v>0</v>
      </c>
      <c r="AE70" s="24">
        <f t="shared" si="20"/>
        <v>0</v>
      </c>
      <c r="AF70" s="24">
        <f t="shared" si="20"/>
        <v>0</v>
      </c>
      <c r="AG70" s="24">
        <f t="shared" si="20"/>
        <v>0</v>
      </c>
      <c r="AH70" s="24">
        <f t="shared" si="20"/>
        <v>13112.4</v>
      </c>
      <c r="AI70" s="16">
        <f t="shared" si="18"/>
        <v>14162.4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16"/>
        <v>0</v>
      </c>
      <c r="S71" s="17">
        <v>4929</v>
      </c>
      <c r="U71" s="17">
        <f t="shared" si="17"/>
        <v>-4929</v>
      </c>
      <c r="W71" s="24"/>
      <c r="X71" s="16"/>
      <c r="Y71" s="16"/>
      <c r="Z71" s="16"/>
      <c r="AA71" s="16"/>
      <c r="AB71" s="16"/>
      <c r="AC71" s="16"/>
      <c r="AD71" s="96"/>
      <c r="AE71" s="16"/>
      <c r="AF71" s="16"/>
      <c r="AG71" s="16"/>
      <c r="AH71" s="16"/>
      <c r="AI71" s="16">
        <f t="shared" si="18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16"/>
        <v>1005402.76</v>
      </c>
      <c r="S72" s="17">
        <v>942749.25150000013</v>
      </c>
      <c r="U72" s="132">
        <f t="shared" si="17"/>
        <v>62653.50849999988</v>
      </c>
      <c r="V72" s="115" t="s">
        <v>112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16">
        <v>149499</v>
      </c>
      <c r="AE72" s="24">
        <v>42642</v>
      </c>
      <c r="AF72" s="16">
        <v>149499</v>
      </c>
      <c r="AG72" s="24">
        <v>42642</v>
      </c>
      <c r="AH72" s="16">
        <v>149499</v>
      </c>
      <c r="AI72" s="16">
        <f t="shared" si="18"/>
        <v>1152846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16"/>
        <v>10715</v>
      </c>
      <c r="S73" s="17">
        <v>7120</v>
      </c>
      <c r="U73" s="17">
        <f t="shared" si="17"/>
        <v>3595</v>
      </c>
      <c r="W73" s="24">
        <f>+(F73*5%)+F73</f>
        <v>7698.6</v>
      </c>
      <c r="X73" s="24">
        <f t="shared" ref="X73:AH88" si="21">+(G73*5%)+G73</f>
        <v>3552.15</v>
      </c>
      <c r="Y73" s="24">
        <f t="shared" si="21"/>
        <v>0</v>
      </c>
      <c r="Z73" s="24">
        <f t="shared" si="21"/>
        <v>0</v>
      </c>
      <c r="AA73" s="24">
        <f t="shared" si="21"/>
        <v>0</v>
      </c>
      <c r="AB73" s="24">
        <f t="shared" si="21"/>
        <v>0</v>
      </c>
      <c r="AC73" s="24">
        <f t="shared" si="21"/>
        <v>0</v>
      </c>
      <c r="AD73" s="24">
        <f t="shared" si="21"/>
        <v>0</v>
      </c>
      <c r="AE73" s="24">
        <f t="shared" si="21"/>
        <v>0</v>
      </c>
      <c r="AF73" s="24">
        <f t="shared" si="21"/>
        <v>0</v>
      </c>
      <c r="AG73" s="24">
        <f t="shared" si="21"/>
        <v>0</v>
      </c>
      <c r="AH73" s="24">
        <f t="shared" si="21"/>
        <v>0</v>
      </c>
      <c r="AI73" s="16">
        <f t="shared" si="18"/>
        <v>11250.75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16"/>
        <v>0</v>
      </c>
      <c r="S74" s="17">
        <v>0</v>
      </c>
      <c r="U74" s="17">
        <f t="shared" si="17"/>
        <v>0</v>
      </c>
      <c r="W74" s="24">
        <f t="shared" ref="W74:AH108" si="22">+(F74*5%)+F74</f>
        <v>0</v>
      </c>
      <c r="X74" s="24">
        <f t="shared" si="21"/>
        <v>0</v>
      </c>
      <c r="Y74" s="24">
        <f t="shared" si="21"/>
        <v>0</v>
      </c>
      <c r="Z74" s="24">
        <f t="shared" si="21"/>
        <v>0</v>
      </c>
      <c r="AA74" s="24">
        <f t="shared" si="21"/>
        <v>0</v>
      </c>
      <c r="AB74" s="24">
        <f t="shared" si="21"/>
        <v>0</v>
      </c>
      <c r="AC74" s="24">
        <f t="shared" si="21"/>
        <v>0</v>
      </c>
      <c r="AD74" s="24">
        <f t="shared" si="21"/>
        <v>0</v>
      </c>
      <c r="AE74" s="24">
        <f t="shared" si="21"/>
        <v>0</v>
      </c>
      <c r="AF74" s="24">
        <f t="shared" si="21"/>
        <v>0</v>
      </c>
      <c r="AG74" s="24">
        <f t="shared" si="21"/>
        <v>0</v>
      </c>
      <c r="AH74" s="24">
        <f t="shared" si="21"/>
        <v>0</v>
      </c>
      <c r="AI74" s="16">
        <f t="shared" si="18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16"/>
        <v>97494.253333333341</v>
      </c>
      <c r="S75" s="17">
        <v>100850.78333333334</v>
      </c>
      <c r="U75" s="17">
        <f t="shared" si="17"/>
        <v>-3356.5299999999988</v>
      </c>
      <c r="W75" s="24">
        <f t="shared" si="22"/>
        <v>0</v>
      </c>
      <c r="X75" s="24">
        <f t="shared" si="21"/>
        <v>8951.1450000000004</v>
      </c>
      <c r="Y75" s="24">
        <f t="shared" si="21"/>
        <v>17435.817000000003</v>
      </c>
      <c r="Z75" s="24">
        <f t="shared" si="21"/>
        <v>9293.2559999999994</v>
      </c>
      <c r="AA75" s="24">
        <f t="shared" si="21"/>
        <v>459.34350000000001</v>
      </c>
      <c r="AB75" s="24">
        <f t="shared" si="21"/>
        <v>8941.6844999999994</v>
      </c>
      <c r="AC75" s="24">
        <f t="shared" si="21"/>
        <v>18022.6515</v>
      </c>
      <c r="AD75" s="24">
        <f t="shared" si="21"/>
        <v>893.40300000000002</v>
      </c>
      <c r="AE75" s="24">
        <f t="shared" si="21"/>
        <v>16617.3315</v>
      </c>
      <c r="AF75" s="24">
        <f t="shared" si="21"/>
        <v>9427.1309999999994</v>
      </c>
      <c r="AG75" s="24">
        <f t="shared" si="21"/>
        <v>535.2165</v>
      </c>
      <c r="AH75" s="24">
        <f t="shared" si="21"/>
        <v>11791.986499999999</v>
      </c>
      <c r="AI75" s="16">
        <f t="shared" si="18"/>
        <v>102368.96599999999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16"/>
        <v>1297479.0333333334</v>
      </c>
      <c r="S76" s="17">
        <v>1377403</v>
      </c>
      <c r="T76" s="19"/>
      <c r="U76" s="17">
        <f t="shared" si="17"/>
        <v>-79923.966666666558</v>
      </c>
      <c r="W76" s="24">
        <f t="shared" si="22"/>
        <v>76568.782500000001</v>
      </c>
      <c r="X76" s="24">
        <f t="shared" si="21"/>
        <v>71497.964999999997</v>
      </c>
      <c r="Y76" s="24">
        <f t="shared" si="21"/>
        <v>67479.027000000002</v>
      </c>
      <c r="Z76" s="24">
        <f t="shared" si="21"/>
        <v>88024.671000000002</v>
      </c>
      <c r="AA76" s="24">
        <f t="shared" si="21"/>
        <v>123018.4725</v>
      </c>
      <c r="AB76" s="24">
        <f t="shared" si="21"/>
        <v>129004.6275</v>
      </c>
      <c r="AC76" s="24">
        <f t="shared" si="21"/>
        <v>146296.8885</v>
      </c>
      <c r="AD76" s="24">
        <f t="shared" si="21"/>
        <v>141657.93600000002</v>
      </c>
      <c r="AE76" s="24">
        <f t="shared" si="21"/>
        <v>150686.0355</v>
      </c>
      <c r="AF76" s="24">
        <f t="shared" si="21"/>
        <v>142433.592</v>
      </c>
      <c r="AG76" s="24">
        <f t="shared" si="21"/>
        <v>105162.22500000001</v>
      </c>
      <c r="AH76" s="24">
        <f t="shared" si="21"/>
        <v>120522.7625</v>
      </c>
      <c r="AI76" s="16">
        <f t="shared" si="18"/>
        <v>1362352.9850000001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16"/>
        <v>46874.233333333337</v>
      </c>
      <c r="S77" s="17">
        <v>42623.16333333333</v>
      </c>
      <c r="U77" s="17">
        <f t="shared" si="17"/>
        <v>4251.070000000007</v>
      </c>
      <c r="W77" s="24">
        <f t="shared" si="22"/>
        <v>312.80550000000005</v>
      </c>
      <c r="X77" s="24">
        <f t="shared" si="21"/>
        <v>5769.3615</v>
      </c>
      <c r="Y77" s="24">
        <f t="shared" si="21"/>
        <v>3394.7655</v>
      </c>
      <c r="Z77" s="24">
        <f t="shared" si="21"/>
        <v>4631.1615000000002</v>
      </c>
      <c r="AA77" s="24">
        <f t="shared" si="21"/>
        <v>0</v>
      </c>
      <c r="AB77" s="24">
        <f t="shared" si="21"/>
        <v>5685.2145</v>
      </c>
      <c r="AC77" s="24">
        <f t="shared" si="21"/>
        <v>6582.5550000000003</v>
      </c>
      <c r="AD77" s="24">
        <f t="shared" si="21"/>
        <v>0</v>
      </c>
      <c r="AE77" s="24">
        <f t="shared" si="21"/>
        <v>8753.871000000001</v>
      </c>
      <c r="AF77" s="24">
        <f t="shared" si="21"/>
        <v>7721.4795000000004</v>
      </c>
      <c r="AG77" s="24">
        <f t="shared" si="21"/>
        <v>1155</v>
      </c>
      <c r="AH77" s="24">
        <f t="shared" si="21"/>
        <v>5211.7309999999998</v>
      </c>
      <c r="AI77" s="16">
        <f t="shared" si="18"/>
        <v>49217.945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16"/>
        <v>36295.170000000006</v>
      </c>
      <c r="S78" s="17">
        <v>27201.460000000003</v>
      </c>
      <c r="U78" s="17">
        <f t="shared" si="17"/>
        <v>9093.7100000000028</v>
      </c>
      <c r="W78" s="24">
        <f t="shared" si="22"/>
        <v>840.08400000000006</v>
      </c>
      <c r="X78" s="24">
        <f t="shared" si="21"/>
        <v>1680.8295000000001</v>
      </c>
      <c r="Y78" s="24">
        <f t="shared" si="21"/>
        <v>4988.7390000000005</v>
      </c>
      <c r="Z78" s="24">
        <f t="shared" si="21"/>
        <v>4332.9615000000003</v>
      </c>
      <c r="AA78" s="24">
        <f t="shared" si="21"/>
        <v>1630.2615000000001</v>
      </c>
      <c r="AB78" s="24">
        <f t="shared" si="21"/>
        <v>3689.07</v>
      </c>
      <c r="AC78" s="24">
        <f t="shared" si="21"/>
        <v>3460.107</v>
      </c>
      <c r="AD78" s="24">
        <f t="shared" si="21"/>
        <v>2205.5879999999997</v>
      </c>
      <c r="AE78" s="24">
        <f t="shared" si="21"/>
        <v>3576.2159999999999</v>
      </c>
      <c r="AF78" s="24">
        <f t="shared" si="21"/>
        <v>1981.4654999999998</v>
      </c>
      <c r="AG78" s="24">
        <f t="shared" si="21"/>
        <v>5828.0144999999993</v>
      </c>
      <c r="AH78" s="24">
        <f t="shared" si="21"/>
        <v>3896.5919999999996</v>
      </c>
      <c r="AI78" s="16">
        <f t="shared" si="18"/>
        <v>38109.928499999995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16"/>
        <v>4545.82</v>
      </c>
      <c r="S79" s="17">
        <v>0</v>
      </c>
      <c r="U79" s="17">
        <f t="shared" si="17"/>
        <v>4545.82</v>
      </c>
      <c r="W79" s="24">
        <f t="shared" si="22"/>
        <v>0</v>
      </c>
      <c r="X79" s="24">
        <f t="shared" si="21"/>
        <v>4773.1109999999999</v>
      </c>
      <c r="Y79" s="24">
        <f t="shared" si="21"/>
        <v>0</v>
      </c>
      <c r="Z79" s="24">
        <f t="shared" si="21"/>
        <v>0</v>
      </c>
      <c r="AA79" s="24">
        <f t="shared" si="21"/>
        <v>0</v>
      </c>
      <c r="AB79" s="24">
        <f t="shared" si="21"/>
        <v>0</v>
      </c>
      <c r="AC79" s="24">
        <f t="shared" si="21"/>
        <v>0</v>
      </c>
      <c r="AD79" s="24">
        <f t="shared" si="21"/>
        <v>0</v>
      </c>
      <c r="AE79" s="24">
        <f t="shared" si="21"/>
        <v>0</v>
      </c>
      <c r="AF79" s="24">
        <f t="shared" si="21"/>
        <v>0</v>
      </c>
      <c r="AG79" s="24">
        <f t="shared" si="21"/>
        <v>0</v>
      </c>
      <c r="AH79" s="24">
        <f t="shared" si="21"/>
        <v>0</v>
      </c>
      <c r="AI79" s="16">
        <f t="shared" si="18"/>
        <v>4773.1109999999999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16"/>
        <v>6202.88</v>
      </c>
      <c r="S80" s="17">
        <v>32743.050000000003</v>
      </c>
      <c r="U80" s="17">
        <f t="shared" si="17"/>
        <v>-26540.170000000002</v>
      </c>
      <c r="W80" s="24">
        <f t="shared" si="22"/>
        <v>0</v>
      </c>
      <c r="X80" s="24">
        <f t="shared" si="21"/>
        <v>0</v>
      </c>
      <c r="Y80" s="24">
        <f t="shared" si="21"/>
        <v>0</v>
      </c>
      <c r="Z80" s="24">
        <f t="shared" si="21"/>
        <v>0</v>
      </c>
      <c r="AA80" s="24">
        <f t="shared" si="21"/>
        <v>0</v>
      </c>
      <c r="AB80" s="24">
        <f t="shared" si="21"/>
        <v>0</v>
      </c>
      <c r="AC80" s="24">
        <f t="shared" si="21"/>
        <v>97.44</v>
      </c>
      <c r="AD80" s="24">
        <f t="shared" si="21"/>
        <v>4893.6194999999998</v>
      </c>
      <c r="AE80" s="24">
        <f t="shared" si="21"/>
        <v>0</v>
      </c>
      <c r="AF80" s="24">
        <f t="shared" si="21"/>
        <v>0</v>
      </c>
      <c r="AG80" s="24">
        <f t="shared" si="21"/>
        <v>0</v>
      </c>
      <c r="AH80" s="24">
        <f t="shared" si="21"/>
        <v>1521.9645</v>
      </c>
      <c r="AI80" s="16">
        <f t="shared" si="18"/>
        <v>6513.0239999999994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16"/>
        <v>45028.753333333334</v>
      </c>
      <c r="S81" s="17">
        <v>160000</v>
      </c>
      <c r="U81" s="17">
        <f t="shared" si="17"/>
        <v>-114971.24666666667</v>
      </c>
      <c r="W81" s="24">
        <f t="shared" si="22"/>
        <v>1759.905</v>
      </c>
      <c r="X81" s="24">
        <f t="shared" si="21"/>
        <v>1007.2125</v>
      </c>
      <c r="Y81" s="24">
        <f t="shared" si="21"/>
        <v>535.71</v>
      </c>
      <c r="Z81" s="24">
        <f t="shared" si="21"/>
        <v>665.26949999999999</v>
      </c>
      <c r="AA81" s="24">
        <f t="shared" si="21"/>
        <v>490.56</v>
      </c>
      <c r="AB81" s="24">
        <f t="shared" si="21"/>
        <v>1475.3025</v>
      </c>
      <c r="AC81" s="24">
        <f t="shared" si="21"/>
        <v>6705.4050000000007</v>
      </c>
      <c r="AD81" s="24">
        <f t="shared" si="21"/>
        <v>15615.568499999999</v>
      </c>
      <c r="AE81" s="24">
        <f t="shared" si="21"/>
        <v>1264.0740000000001</v>
      </c>
      <c r="AF81" s="24">
        <f t="shared" si="21"/>
        <v>3330.558</v>
      </c>
      <c r="AG81" s="24">
        <f t="shared" si="21"/>
        <v>430.62599999999998</v>
      </c>
      <c r="AH81" s="24">
        <f t="shared" si="21"/>
        <v>14000</v>
      </c>
      <c r="AI81" s="16">
        <f t="shared" si="18"/>
        <v>47280.190999999992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16"/>
        <v>21823.4</v>
      </c>
      <c r="S82" s="17">
        <v>24640</v>
      </c>
      <c r="U82" s="17">
        <f t="shared" si="17"/>
        <v>-2816.5999999999985</v>
      </c>
      <c r="W82" s="24">
        <f t="shared" si="22"/>
        <v>787.5</v>
      </c>
      <c r="X82" s="24">
        <f t="shared" si="21"/>
        <v>8599.5</v>
      </c>
      <c r="Y82" s="24">
        <f t="shared" si="21"/>
        <v>2310</v>
      </c>
      <c r="Z82" s="24">
        <f t="shared" si="21"/>
        <v>787.5</v>
      </c>
      <c r="AA82" s="24">
        <f t="shared" si="21"/>
        <v>787.5</v>
      </c>
      <c r="AB82" s="24">
        <f t="shared" si="21"/>
        <v>1888.95</v>
      </c>
      <c r="AC82" s="24">
        <f t="shared" si="21"/>
        <v>787.5</v>
      </c>
      <c r="AD82" s="24">
        <f t="shared" si="21"/>
        <v>787.5</v>
      </c>
      <c r="AE82" s="24">
        <f t="shared" si="21"/>
        <v>787.5</v>
      </c>
      <c r="AF82" s="24">
        <f t="shared" si="21"/>
        <v>1506.1200000000001</v>
      </c>
      <c r="AG82" s="24">
        <f t="shared" si="21"/>
        <v>2520</v>
      </c>
      <c r="AH82" s="24">
        <f t="shared" si="21"/>
        <v>1365</v>
      </c>
      <c r="AI82" s="16">
        <f t="shared" si="18"/>
        <v>22914.57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16"/>
        <v>15.333333333333334</v>
      </c>
      <c r="S83" s="17">
        <v>1240.0833333333333</v>
      </c>
      <c r="U83" s="17">
        <f t="shared" si="17"/>
        <v>-1224.75</v>
      </c>
      <c r="W83" s="24">
        <f t="shared" si="22"/>
        <v>0</v>
      </c>
      <c r="X83" s="24">
        <f t="shared" si="21"/>
        <v>0</v>
      </c>
      <c r="Y83" s="24">
        <f t="shared" si="21"/>
        <v>0</v>
      </c>
      <c r="Z83" s="24">
        <f t="shared" si="21"/>
        <v>0</v>
      </c>
      <c r="AA83" s="24">
        <f t="shared" si="21"/>
        <v>0</v>
      </c>
      <c r="AB83" s="24">
        <f t="shared" si="21"/>
        <v>0</v>
      </c>
      <c r="AC83" s="24">
        <f t="shared" si="21"/>
        <v>0</v>
      </c>
      <c r="AD83" s="24">
        <f t="shared" si="21"/>
        <v>0</v>
      </c>
      <c r="AE83" s="24">
        <f t="shared" si="21"/>
        <v>0</v>
      </c>
      <c r="AF83" s="24">
        <f t="shared" si="21"/>
        <v>0</v>
      </c>
      <c r="AG83" s="24">
        <f t="shared" si="21"/>
        <v>0</v>
      </c>
      <c r="AH83" s="24">
        <f t="shared" si="21"/>
        <v>16.100000000000001</v>
      </c>
      <c r="AI83" s="16">
        <f t="shared" si="18"/>
        <v>16.100000000000001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T84" t="s">
        <v>65</v>
      </c>
      <c r="U84" s="17">
        <f t="shared" si="17"/>
        <v>-152.79999999998108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">
        <v>5287</v>
      </c>
      <c r="AE84" s="24">
        <v>5287</v>
      </c>
      <c r="AF84" s="24">
        <v>5287</v>
      </c>
      <c r="AG84" s="24">
        <v>5287</v>
      </c>
      <c r="AH84" s="24">
        <v>5287</v>
      </c>
      <c r="AI84" s="16">
        <f>SUM(W84:AH84)</f>
        <v>63444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16"/>
        <v>93879.91</v>
      </c>
      <c r="S85" s="17">
        <v>17578.939999999999</v>
      </c>
      <c r="U85" s="132">
        <f t="shared" si="17"/>
        <v>76300.97</v>
      </c>
      <c r="V85" s="115" t="s">
        <v>115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f t="shared" si="21"/>
        <v>0</v>
      </c>
      <c r="AG85" s="24">
        <f t="shared" si="21"/>
        <v>0</v>
      </c>
      <c r="AH85" s="24">
        <f t="shared" si="21"/>
        <v>0</v>
      </c>
      <c r="AI85" s="16">
        <f t="shared" ref="AI85:AI106" si="23">SUM(W85:AH85)</f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16"/>
        <v>881698.67333333334</v>
      </c>
      <c r="S86" s="17">
        <v>652723</v>
      </c>
      <c r="U86" s="132">
        <f t="shared" si="17"/>
        <v>228975.67333333334</v>
      </c>
      <c r="V86" s="115" t="s">
        <v>116</v>
      </c>
      <c r="W86" s="24">
        <f t="shared" si="22"/>
        <v>27542.266499999998</v>
      </c>
      <c r="X86" s="24">
        <f t="shared" si="21"/>
        <v>54852.304499999998</v>
      </c>
      <c r="Y86" s="24">
        <f t="shared" si="21"/>
        <v>54467.038500000002</v>
      </c>
      <c r="Z86" s="24">
        <f t="shared" si="21"/>
        <v>60224.703000000001</v>
      </c>
      <c r="AA86" s="24">
        <f t="shared" si="21"/>
        <v>111177.65399999999</v>
      </c>
      <c r="AB86" s="24">
        <f t="shared" si="21"/>
        <v>44716.56</v>
      </c>
      <c r="AC86" s="24">
        <f t="shared" si="21"/>
        <v>88947.369000000006</v>
      </c>
      <c r="AD86" s="24">
        <f t="shared" si="21"/>
        <v>66973.189499999993</v>
      </c>
      <c r="AE86" s="24">
        <f t="shared" si="21"/>
        <v>177130.53750000001</v>
      </c>
      <c r="AF86" s="24">
        <f t="shared" si="21"/>
        <v>112475.496</v>
      </c>
      <c r="AG86" s="24">
        <f t="shared" si="21"/>
        <v>70163.225999999995</v>
      </c>
      <c r="AH86" s="24">
        <f t="shared" si="21"/>
        <v>57113.262500000004</v>
      </c>
      <c r="AI86" s="16">
        <f t="shared" si="23"/>
        <v>925783.60699999996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16"/>
        <v>54661.2</v>
      </c>
      <c r="S87" s="17">
        <v>48615.97</v>
      </c>
      <c r="U87" s="17">
        <f t="shared" si="17"/>
        <v>6045.2299999999959</v>
      </c>
      <c r="W87" s="24">
        <f t="shared" si="22"/>
        <v>8794.7265000000007</v>
      </c>
      <c r="X87" s="24">
        <f t="shared" si="21"/>
        <v>2957.5559999999996</v>
      </c>
      <c r="Y87" s="24">
        <f t="shared" si="21"/>
        <v>1170.96</v>
      </c>
      <c r="Z87" s="24">
        <f t="shared" si="21"/>
        <v>7056.7980000000007</v>
      </c>
      <c r="AA87" s="24">
        <f t="shared" si="21"/>
        <v>1147.4189999999999</v>
      </c>
      <c r="AB87" s="24">
        <f t="shared" si="21"/>
        <v>2606.6039999999998</v>
      </c>
      <c r="AC87" s="24">
        <f t="shared" si="21"/>
        <v>6240.1710000000003</v>
      </c>
      <c r="AD87" s="24">
        <f t="shared" si="21"/>
        <v>3084.942</v>
      </c>
      <c r="AE87" s="24">
        <f t="shared" si="21"/>
        <v>7285.5929999999998</v>
      </c>
      <c r="AF87" s="24">
        <f t="shared" si="21"/>
        <v>3371.067</v>
      </c>
      <c r="AG87" s="24">
        <f t="shared" si="21"/>
        <v>6157.8404999999993</v>
      </c>
      <c r="AH87" s="24">
        <f t="shared" si="21"/>
        <v>7520.5829999999987</v>
      </c>
      <c r="AI87" s="16">
        <f t="shared" si="23"/>
        <v>57394.260000000009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16"/>
        <v>998654.80999999994</v>
      </c>
      <c r="S88" s="17">
        <v>913062.7</v>
      </c>
      <c r="T88" s="19"/>
      <c r="U88" s="132">
        <f t="shared" si="17"/>
        <v>85592.109999999986</v>
      </c>
      <c r="V88" s="115" t="s">
        <v>117</v>
      </c>
      <c r="W88" s="24">
        <f t="shared" si="22"/>
        <v>0</v>
      </c>
      <c r="X88" s="24">
        <f t="shared" si="21"/>
        <v>0</v>
      </c>
      <c r="Y88" s="24">
        <f t="shared" si="21"/>
        <v>21665.290499999999</v>
      </c>
      <c r="Z88" s="24">
        <f t="shared" si="21"/>
        <v>23695.297500000001</v>
      </c>
      <c r="AA88" s="24">
        <f t="shared" si="21"/>
        <v>0</v>
      </c>
      <c r="AB88" s="24">
        <f t="shared" si="21"/>
        <v>218970.1605</v>
      </c>
      <c r="AC88" s="24">
        <f t="shared" si="21"/>
        <v>36510.557999999997</v>
      </c>
      <c r="AD88" s="24">
        <f t="shared" si="21"/>
        <v>36510.568500000001</v>
      </c>
      <c r="AE88" s="24">
        <f t="shared" si="21"/>
        <v>0</v>
      </c>
      <c r="AF88" s="24">
        <f t="shared" si="21"/>
        <v>210038.39850000001</v>
      </c>
      <c r="AG88" s="24">
        <f t="shared" si="21"/>
        <v>346718.78850000002</v>
      </c>
      <c r="AH88" s="24">
        <f t="shared" si="21"/>
        <v>154478.48850000001</v>
      </c>
      <c r="AI88" s="16">
        <f t="shared" si="23"/>
        <v>1048587.5505000001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16"/>
        <v>79964.933333333334</v>
      </c>
      <c r="S89" s="17">
        <v>85000</v>
      </c>
      <c r="U89" s="17">
        <f t="shared" si="17"/>
        <v>-5035.0666666666657</v>
      </c>
      <c r="W89" s="24">
        <f t="shared" si="22"/>
        <v>9681</v>
      </c>
      <c r="X89" s="24">
        <f t="shared" si="22"/>
        <v>6092.1</v>
      </c>
      <c r="Y89" s="24">
        <f t="shared" si="22"/>
        <v>14347.2</v>
      </c>
      <c r="Z89" s="24">
        <f t="shared" si="22"/>
        <v>893.55</v>
      </c>
      <c r="AA89" s="24">
        <f t="shared" si="22"/>
        <v>10128.299999999999</v>
      </c>
      <c r="AB89" s="24">
        <f t="shared" si="22"/>
        <v>6246.7650000000003</v>
      </c>
      <c r="AC89" s="24">
        <f t="shared" si="22"/>
        <v>10122.525</v>
      </c>
      <c r="AD89" s="24">
        <f t="shared" si="22"/>
        <v>0</v>
      </c>
      <c r="AE89" s="24">
        <f t="shared" si="22"/>
        <v>8513.19</v>
      </c>
      <c r="AF89" s="24">
        <f t="shared" si="22"/>
        <v>6012.3</v>
      </c>
      <c r="AG89" s="24">
        <f t="shared" si="22"/>
        <v>4488.75</v>
      </c>
      <c r="AH89" s="24">
        <f t="shared" si="22"/>
        <v>7437.5</v>
      </c>
      <c r="AI89" s="16">
        <f t="shared" si="23"/>
        <v>83963.180000000008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16"/>
        <v>43680.876666666671</v>
      </c>
      <c r="S90" s="17">
        <v>46443.286666666667</v>
      </c>
      <c r="U90" s="17">
        <f t="shared" si="17"/>
        <v>-2762.4099999999962</v>
      </c>
      <c r="W90" s="24">
        <f t="shared" si="22"/>
        <v>743.4</v>
      </c>
      <c r="X90" s="24">
        <f t="shared" si="22"/>
        <v>879.9</v>
      </c>
      <c r="Y90" s="24">
        <f t="shared" si="22"/>
        <v>2732.6985</v>
      </c>
      <c r="Z90" s="24">
        <f t="shared" si="22"/>
        <v>0</v>
      </c>
      <c r="AA90" s="24">
        <f t="shared" si="22"/>
        <v>30127.881000000001</v>
      </c>
      <c r="AB90" s="24">
        <f t="shared" si="22"/>
        <v>0</v>
      </c>
      <c r="AC90" s="24">
        <f t="shared" si="22"/>
        <v>4071.0809999999997</v>
      </c>
      <c r="AD90" s="24">
        <f t="shared" si="22"/>
        <v>0</v>
      </c>
      <c r="AE90" s="24">
        <f t="shared" si="22"/>
        <v>3403.5014999999999</v>
      </c>
      <c r="AF90" s="24">
        <f t="shared" si="22"/>
        <v>89.25</v>
      </c>
      <c r="AG90" s="24">
        <f t="shared" si="22"/>
        <v>0</v>
      </c>
      <c r="AH90" s="24">
        <f t="shared" si="22"/>
        <v>3817.2084999999997</v>
      </c>
      <c r="AI90" s="16">
        <f t="shared" si="23"/>
        <v>45864.9205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16"/>
        <v>0</v>
      </c>
      <c r="S91" s="17">
        <v>0</v>
      </c>
      <c r="T91" s="30"/>
      <c r="U91" s="17">
        <f t="shared" si="17"/>
        <v>0</v>
      </c>
      <c r="W91" s="24">
        <f t="shared" si="22"/>
        <v>0</v>
      </c>
      <c r="X91" s="24">
        <f t="shared" si="22"/>
        <v>0</v>
      </c>
      <c r="Y91" s="24">
        <f t="shared" si="22"/>
        <v>0</v>
      </c>
      <c r="Z91" s="24">
        <f t="shared" si="22"/>
        <v>0</v>
      </c>
      <c r="AA91" s="24">
        <f t="shared" si="22"/>
        <v>0</v>
      </c>
      <c r="AB91" s="24">
        <f t="shared" si="22"/>
        <v>0</v>
      </c>
      <c r="AC91" s="24">
        <f t="shared" si="22"/>
        <v>0</v>
      </c>
      <c r="AD91" s="24">
        <f t="shared" si="22"/>
        <v>0</v>
      </c>
      <c r="AE91" s="24">
        <f t="shared" si="22"/>
        <v>0</v>
      </c>
      <c r="AF91" s="24">
        <f t="shared" si="22"/>
        <v>0</v>
      </c>
      <c r="AG91" s="24">
        <f t="shared" si="22"/>
        <v>0</v>
      </c>
      <c r="AH91" s="24">
        <f t="shared" si="22"/>
        <v>0</v>
      </c>
      <c r="AI91" s="16">
        <f t="shared" si="23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16"/>
        <v>32163.15</v>
      </c>
      <c r="S92" s="17">
        <v>71846.950000000012</v>
      </c>
      <c r="U92" s="17">
        <f t="shared" si="17"/>
        <v>-39683.80000000001</v>
      </c>
      <c r="W92" s="24">
        <f t="shared" si="22"/>
        <v>1050</v>
      </c>
      <c r="X92" s="24">
        <f t="shared" si="22"/>
        <v>3066.8294999999998</v>
      </c>
      <c r="Y92" s="24">
        <f t="shared" si="22"/>
        <v>4899.4364999999998</v>
      </c>
      <c r="Z92" s="24">
        <f t="shared" si="22"/>
        <v>1295.49</v>
      </c>
      <c r="AA92" s="24">
        <f t="shared" si="22"/>
        <v>592.7985000000001</v>
      </c>
      <c r="AB92" s="24">
        <f t="shared" si="22"/>
        <v>1624.2450000000001</v>
      </c>
      <c r="AC92" s="24">
        <f t="shared" si="22"/>
        <v>3312.393</v>
      </c>
      <c r="AD92" s="24">
        <f t="shared" si="22"/>
        <v>102.9</v>
      </c>
      <c r="AE92" s="24">
        <f t="shared" si="22"/>
        <v>285.22199999999998</v>
      </c>
      <c r="AF92" s="24">
        <f t="shared" si="22"/>
        <v>766.5</v>
      </c>
      <c r="AG92" s="24">
        <f t="shared" si="22"/>
        <v>134.08500000000001</v>
      </c>
      <c r="AH92" s="24">
        <f t="shared" si="22"/>
        <v>16641.407999999999</v>
      </c>
      <c r="AI92" s="16">
        <f t="shared" si="23"/>
        <v>33771.307499999995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16"/>
        <v>566.33333333333337</v>
      </c>
      <c r="S93" s="74">
        <v>2265.3333333333335</v>
      </c>
      <c r="U93" s="17">
        <f t="shared" si="17"/>
        <v>-1699</v>
      </c>
      <c r="W93" s="24">
        <f t="shared" si="22"/>
        <v>0</v>
      </c>
      <c r="X93" s="24">
        <f t="shared" si="22"/>
        <v>0</v>
      </c>
      <c r="Y93" s="24">
        <f t="shared" si="22"/>
        <v>0</v>
      </c>
      <c r="Z93" s="24">
        <f t="shared" si="22"/>
        <v>0</v>
      </c>
      <c r="AA93" s="24">
        <f t="shared" si="22"/>
        <v>0</v>
      </c>
      <c r="AB93" s="24">
        <f t="shared" si="22"/>
        <v>0</v>
      </c>
      <c r="AC93" s="24">
        <f t="shared" si="22"/>
        <v>0</v>
      </c>
      <c r="AD93" s="24">
        <f t="shared" si="22"/>
        <v>0</v>
      </c>
      <c r="AE93" s="24">
        <f t="shared" si="22"/>
        <v>0</v>
      </c>
      <c r="AF93" s="24">
        <f t="shared" si="22"/>
        <v>0</v>
      </c>
      <c r="AG93" s="24">
        <f t="shared" si="22"/>
        <v>0</v>
      </c>
      <c r="AH93" s="24">
        <f t="shared" si="22"/>
        <v>594.65000000000009</v>
      </c>
      <c r="AI93" s="16">
        <f t="shared" si="23"/>
        <v>594.65000000000009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16"/>
        <v>121.8</v>
      </c>
      <c r="S94" s="17">
        <v>0</v>
      </c>
      <c r="T94" s="30"/>
      <c r="U94" s="17">
        <f t="shared" si="17"/>
        <v>121.8</v>
      </c>
      <c r="W94" s="24">
        <f t="shared" si="22"/>
        <v>127.89</v>
      </c>
      <c r="X94" s="24">
        <f t="shared" si="22"/>
        <v>0</v>
      </c>
      <c r="Y94" s="24">
        <f t="shared" si="22"/>
        <v>0</v>
      </c>
      <c r="Z94" s="24">
        <f t="shared" si="22"/>
        <v>0</v>
      </c>
      <c r="AA94" s="24">
        <f t="shared" si="22"/>
        <v>0</v>
      </c>
      <c r="AB94" s="24">
        <f t="shared" si="22"/>
        <v>0</v>
      </c>
      <c r="AC94" s="24">
        <f t="shared" si="22"/>
        <v>0</v>
      </c>
      <c r="AD94" s="24">
        <f t="shared" si="22"/>
        <v>0</v>
      </c>
      <c r="AE94" s="24">
        <f t="shared" si="22"/>
        <v>0</v>
      </c>
      <c r="AF94" s="24">
        <f t="shared" si="22"/>
        <v>0</v>
      </c>
      <c r="AG94" s="24">
        <f t="shared" si="22"/>
        <v>0</v>
      </c>
      <c r="AH94" s="24">
        <f t="shared" si="22"/>
        <v>0</v>
      </c>
      <c r="AI94" s="16">
        <f t="shared" si="23"/>
        <v>127.89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16"/>
        <v>640</v>
      </c>
      <c r="S95" s="17">
        <v>1090</v>
      </c>
      <c r="U95" s="17">
        <f t="shared" si="17"/>
        <v>-450</v>
      </c>
      <c r="W95" s="24">
        <f t="shared" si="22"/>
        <v>0</v>
      </c>
      <c r="X95" s="24">
        <f t="shared" si="22"/>
        <v>0</v>
      </c>
      <c r="Y95" s="24">
        <f t="shared" si="22"/>
        <v>0</v>
      </c>
      <c r="Z95" s="24">
        <f t="shared" si="22"/>
        <v>0</v>
      </c>
      <c r="AA95" s="24">
        <f t="shared" si="22"/>
        <v>672</v>
      </c>
      <c r="AB95" s="24">
        <f t="shared" si="22"/>
        <v>0</v>
      </c>
      <c r="AC95" s="24">
        <f t="shared" si="22"/>
        <v>0</v>
      </c>
      <c r="AD95" s="24">
        <f t="shared" si="22"/>
        <v>0</v>
      </c>
      <c r="AE95" s="24">
        <f t="shared" si="22"/>
        <v>0</v>
      </c>
      <c r="AF95" s="24">
        <f t="shared" si="22"/>
        <v>0</v>
      </c>
      <c r="AG95" s="24">
        <f t="shared" si="22"/>
        <v>0</v>
      </c>
      <c r="AH95" s="24">
        <f t="shared" si="22"/>
        <v>0</v>
      </c>
      <c r="AI95" s="16">
        <f t="shared" si="23"/>
        <v>672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16"/>
        <v>0</v>
      </c>
      <c r="S96" s="17">
        <v>0</v>
      </c>
      <c r="U96" s="17">
        <f t="shared" si="17"/>
        <v>0</v>
      </c>
      <c r="W96" s="24">
        <f t="shared" si="22"/>
        <v>0</v>
      </c>
      <c r="X96" s="24">
        <f t="shared" si="22"/>
        <v>0</v>
      </c>
      <c r="Y96" s="24">
        <f t="shared" si="22"/>
        <v>0</v>
      </c>
      <c r="Z96" s="24">
        <f t="shared" si="22"/>
        <v>0</v>
      </c>
      <c r="AA96" s="24">
        <f t="shared" si="22"/>
        <v>0</v>
      </c>
      <c r="AB96" s="24">
        <f t="shared" si="22"/>
        <v>0</v>
      </c>
      <c r="AC96" s="24">
        <f t="shared" si="22"/>
        <v>0</v>
      </c>
      <c r="AD96" s="24">
        <f t="shared" si="22"/>
        <v>0</v>
      </c>
      <c r="AE96" s="24">
        <f t="shared" si="22"/>
        <v>0</v>
      </c>
      <c r="AF96" s="24">
        <f t="shared" si="22"/>
        <v>0</v>
      </c>
      <c r="AG96" s="24">
        <f t="shared" si="22"/>
        <v>0</v>
      </c>
      <c r="AH96" s="24">
        <f t="shared" si="22"/>
        <v>0</v>
      </c>
      <c r="AI96" s="16">
        <f t="shared" si="23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16"/>
        <v>183.98</v>
      </c>
      <c r="S97" s="17">
        <v>61.2</v>
      </c>
      <c r="U97" s="17">
        <f t="shared" si="17"/>
        <v>122.77999999999999</v>
      </c>
      <c r="W97" s="24">
        <f t="shared" si="22"/>
        <v>0</v>
      </c>
      <c r="X97" s="24">
        <f t="shared" si="22"/>
        <v>0</v>
      </c>
      <c r="Y97" s="24">
        <f t="shared" si="22"/>
        <v>0</v>
      </c>
      <c r="Z97" s="24">
        <f t="shared" si="22"/>
        <v>0</v>
      </c>
      <c r="AA97" s="24">
        <f t="shared" si="22"/>
        <v>0</v>
      </c>
      <c r="AB97" s="24">
        <f t="shared" si="22"/>
        <v>0</v>
      </c>
      <c r="AC97" s="24">
        <f t="shared" si="22"/>
        <v>0</v>
      </c>
      <c r="AD97" s="24">
        <f t="shared" si="22"/>
        <v>0</v>
      </c>
      <c r="AE97" s="24">
        <f t="shared" si="22"/>
        <v>0</v>
      </c>
      <c r="AF97" s="24">
        <f t="shared" si="22"/>
        <v>0</v>
      </c>
      <c r="AG97" s="24">
        <f t="shared" si="22"/>
        <v>193.179</v>
      </c>
      <c r="AH97" s="24">
        <f t="shared" si="22"/>
        <v>0</v>
      </c>
      <c r="AI97" s="25">
        <f t="shared" si="23"/>
        <v>193.179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16"/>
        <v>0</v>
      </c>
      <c r="S98" s="17">
        <v>0</v>
      </c>
      <c r="U98" s="17">
        <f t="shared" si="17"/>
        <v>0</v>
      </c>
      <c r="W98" s="24">
        <f t="shared" si="22"/>
        <v>0</v>
      </c>
      <c r="X98" s="24">
        <f t="shared" si="22"/>
        <v>0</v>
      </c>
      <c r="Y98" s="24">
        <f t="shared" si="22"/>
        <v>0</v>
      </c>
      <c r="Z98" s="24">
        <f t="shared" si="22"/>
        <v>0</v>
      </c>
      <c r="AA98" s="24">
        <f t="shared" si="22"/>
        <v>0</v>
      </c>
      <c r="AB98" s="24">
        <f t="shared" si="22"/>
        <v>0</v>
      </c>
      <c r="AC98" s="24">
        <f t="shared" si="22"/>
        <v>0</v>
      </c>
      <c r="AD98" s="24">
        <f t="shared" si="22"/>
        <v>0</v>
      </c>
      <c r="AE98" s="24">
        <f t="shared" si="22"/>
        <v>0</v>
      </c>
      <c r="AF98" s="24">
        <f t="shared" si="22"/>
        <v>0</v>
      </c>
      <c r="AG98" s="24">
        <f t="shared" si="22"/>
        <v>0</v>
      </c>
      <c r="AH98" s="24">
        <f t="shared" si="22"/>
        <v>0</v>
      </c>
      <c r="AI98" s="25">
        <f t="shared" si="23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16"/>
        <v>29153.453333333335</v>
      </c>
      <c r="S99" s="17">
        <v>19727.403333333332</v>
      </c>
      <c r="U99" s="17">
        <f t="shared" si="17"/>
        <v>9426.0500000000029</v>
      </c>
      <c r="W99" s="24">
        <f t="shared" si="22"/>
        <v>36.54</v>
      </c>
      <c r="X99" s="24">
        <f t="shared" si="22"/>
        <v>9405.3960000000006</v>
      </c>
      <c r="Y99" s="24">
        <f t="shared" si="22"/>
        <v>2211.8879999999999</v>
      </c>
      <c r="Z99" s="24">
        <f t="shared" si="22"/>
        <v>1770.4259999999999</v>
      </c>
      <c r="AA99" s="24">
        <f t="shared" si="22"/>
        <v>0</v>
      </c>
      <c r="AB99" s="24">
        <f t="shared" si="22"/>
        <v>3590.7059999999997</v>
      </c>
      <c r="AC99" s="24">
        <f t="shared" si="22"/>
        <v>2023.6754999999998</v>
      </c>
      <c r="AD99" s="24">
        <f t="shared" si="22"/>
        <v>25.2</v>
      </c>
      <c r="AE99" s="24">
        <f t="shared" si="22"/>
        <v>4440.9435000000003</v>
      </c>
      <c r="AF99" s="24">
        <f t="shared" si="22"/>
        <v>2413.3829999999998</v>
      </c>
      <c r="AG99" s="24">
        <f t="shared" si="22"/>
        <v>2476.7294999999999</v>
      </c>
      <c r="AH99" s="24">
        <f t="shared" si="22"/>
        <v>2216.2384999999999</v>
      </c>
      <c r="AI99" s="25">
        <f t="shared" si="23"/>
        <v>30611.126000000004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16"/>
        <v>0</v>
      </c>
      <c r="S100" s="17">
        <v>0</v>
      </c>
      <c r="U100" s="17">
        <f t="shared" si="17"/>
        <v>0</v>
      </c>
      <c r="W100" s="24">
        <f t="shared" si="22"/>
        <v>0</v>
      </c>
      <c r="X100" s="24">
        <f t="shared" si="22"/>
        <v>0</v>
      </c>
      <c r="Y100" s="24">
        <f t="shared" si="22"/>
        <v>0</v>
      </c>
      <c r="Z100" s="24">
        <f t="shared" si="22"/>
        <v>0</v>
      </c>
      <c r="AA100" s="24">
        <f t="shared" si="22"/>
        <v>0</v>
      </c>
      <c r="AB100" s="24">
        <f t="shared" si="22"/>
        <v>0</v>
      </c>
      <c r="AC100" s="24">
        <f t="shared" si="22"/>
        <v>0</v>
      </c>
      <c r="AD100" s="24">
        <f t="shared" si="22"/>
        <v>0</v>
      </c>
      <c r="AE100" s="24">
        <f t="shared" si="22"/>
        <v>0</v>
      </c>
      <c r="AF100" s="24">
        <f t="shared" si="22"/>
        <v>0</v>
      </c>
      <c r="AG100" s="24">
        <f t="shared" si="22"/>
        <v>0</v>
      </c>
      <c r="AH100" s="24">
        <f t="shared" si="22"/>
        <v>0</v>
      </c>
      <c r="AI100" s="25">
        <f t="shared" si="23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16"/>
        <v>1303.3600000000001</v>
      </c>
      <c r="S101" s="17">
        <v>160</v>
      </c>
      <c r="U101" s="17">
        <f t="shared" si="17"/>
        <v>1143.3600000000001</v>
      </c>
      <c r="W101" s="24">
        <f t="shared" si="22"/>
        <v>91.35</v>
      </c>
      <c r="X101" s="24">
        <f t="shared" si="22"/>
        <v>0</v>
      </c>
      <c r="Y101" s="24">
        <f t="shared" si="22"/>
        <v>0</v>
      </c>
      <c r="Z101" s="24">
        <f t="shared" si="22"/>
        <v>147.37800000000001</v>
      </c>
      <c r="AA101" s="24">
        <f t="shared" si="22"/>
        <v>352.8</v>
      </c>
      <c r="AB101" s="24">
        <f t="shared" si="22"/>
        <v>0</v>
      </c>
      <c r="AC101" s="24">
        <f t="shared" si="22"/>
        <v>157.5</v>
      </c>
      <c r="AD101" s="24">
        <f t="shared" si="22"/>
        <v>0</v>
      </c>
      <c r="AE101" s="24">
        <f t="shared" si="22"/>
        <v>336</v>
      </c>
      <c r="AF101" s="24">
        <f t="shared" si="22"/>
        <v>0</v>
      </c>
      <c r="AG101" s="24">
        <f t="shared" si="22"/>
        <v>252</v>
      </c>
      <c r="AH101" s="24">
        <f t="shared" si="22"/>
        <v>31.5</v>
      </c>
      <c r="AI101" s="25">
        <f t="shared" si="23"/>
        <v>1368.528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16"/>
        <v>4179.333333333333</v>
      </c>
      <c r="S102" s="17">
        <v>16717.333333333332</v>
      </c>
      <c r="U102" s="17">
        <f t="shared" si="17"/>
        <v>-12538</v>
      </c>
      <c r="W102" s="24">
        <f t="shared" si="22"/>
        <v>0</v>
      </c>
      <c r="X102" s="24">
        <f t="shared" si="22"/>
        <v>0</v>
      </c>
      <c r="Y102" s="24">
        <f t="shared" si="22"/>
        <v>0</v>
      </c>
      <c r="Z102" s="24">
        <f t="shared" si="22"/>
        <v>0</v>
      </c>
      <c r="AA102" s="24">
        <f t="shared" si="22"/>
        <v>0</v>
      </c>
      <c r="AB102" s="24">
        <f t="shared" si="22"/>
        <v>0</v>
      </c>
      <c r="AC102" s="24">
        <f t="shared" si="22"/>
        <v>0</v>
      </c>
      <c r="AD102" s="24">
        <f t="shared" si="22"/>
        <v>0</v>
      </c>
      <c r="AE102" s="24">
        <f t="shared" si="22"/>
        <v>0</v>
      </c>
      <c r="AF102" s="24">
        <f t="shared" si="22"/>
        <v>0</v>
      </c>
      <c r="AG102" s="24">
        <f t="shared" si="22"/>
        <v>0</v>
      </c>
      <c r="AH102" s="24">
        <f t="shared" si="22"/>
        <v>4388.2999999999993</v>
      </c>
      <c r="AI102" s="25">
        <f t="shared" si="23"/>
        <v>4388.2999999999993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16"/>
        <v>2449</v>
      </c>
      <c r="S103" s="17">
        <v>3234</v>
      </c>
      <c r="U103" s="17">
        <f t="shared" si="17"/>
        <v>-785</v>
      </c>
      <c r="W103" s="24">
        <f t="shared" si="22"/>
        <v>0</v>
      </c>
      <c r="X103" s="24">
        <f t="shared" si="22"/>
        <v>0</v>
      </c>
      <c r="Y103" s="24">
        <f t="shared" si="22"/>
        <v>710.85</v>
      </c>
      <c r="Z103" s="24">
        <f t="shared" si="22"/>
        <v>0</v>
      </c>
      <c r="AA103" s="24">
        <f t="shared" si="22"/>
        <v>0</v>
      </c>
      <c r="AB103" s="24">
        <f t="shared" si="22"/>
        <v>0</v>
      </c>
      <c r="AC103" s="24">
        <f t="shared" si="22"/>
        <v>0</v>
      </c>
      <c r="AD103" s="24">
        <f t="shared" si="22"/>
        <v>0</v>
      </c>
      <c r="AE103" s="24">
        <f t="shared" si="22"/>
        <v>995.4</v>
      </c>
      <c r="AF103" s="24">
        <f t="shared" si="22"/>
        <v>865.2</v>
      </c>
      <c r="AG103" s="24">
        <f t="shared" si="22"/>
        <v>0</v>
      </c>
      <c r="AH103" s="24">
        <f t="shared" si="22"/>
        <v>0</v>
      </c>
      <c r="AI103" s="25">
        <f t="shared" si="23"/>
        <v>2571.4499999999998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16"/>
        <v>24010</v>
      </c>
      <c r="S104" s="17">
        <v>201120</v>
      </c>
      <c r="U104" s="17">
        <f t="shared" si="17"/>
        <v>-177110</v>
      </c>
      <c r="W104" s="24">
        <f t="shared" si="22"/>
        <v>0</v>
      </c>
      <c r="X104" s="24">
        <f t="shared" si="22"/>
        <v>0</v>
      </c>
      <c r="Y104" s="24">
        <f t="shared" si="22"/>
        <v>0</v>
      </c>
      <c r="Z104" s="24">
        <f t="shared" si="22"/>
        <v>0</v>
      </c>
      <c r="AA104" s="24">
        <f t="shared" si="22"/>
        <v>0</v>
      </c>
      <c r="AB104" s="24">
        <f t="shared" si="22"/>
        <v>0</v>
      </c>
      <c r="AC104" s="24">
        <f t="shared" si="22"/>
        <v>0</v>
      </c>
      <c r="AD104" s="24">
        <f t="shared" si="22"/>
        <v>5733</v>
      </c>
      <c r="AE104" s="24">
        <f t="shared" si="22"/>
        <v>0</v>
      </c>
      <c r="AF104" s="24">
        <f t="shared" si="22"/>
        <v>1879.5</v>
      </c>
      <c r="AG104" s="24">
        <f t="shared" si="22"/>
        <v>0</v>
      </c>
      <c r="AH104" s="24">
        <f t="shared" si="22"/>
        <v>17598</v>
      </c>
      <c r="AI104" s="25">
        <f t="shared" si="23"/>
        <v>25210.5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16"/>
        <v>3470</v>
      </c>
      <c r="S105" s="17">
        <v>0</v>
      </c>
      <c r="U105" s="17">
        <f t="shared" si="17"/>
        <v>3470</v>
      </c>
      <c r="W105" s="24">
        <f t="shared" si="22"/>
        <v>0</v>
      </c>
      <c r="X105" s="24">
        <f t="shared" si="22"/>
        <v>0</v>
      </c>
      <c r="Y105" s="24">
        <f t="shared" si="22"/>
        <v>0</v>
      </c>
      <c r="Z105" s="24">
        <f t="shared" si="22"/>
        <v>0</v>
      </c>
      <c r="AA105" s="24">
        <f t="shared" si="22"/>
        <v>0</v>
      </c>
      <c r="AB105" s="24">
        <f t="shared" si="22"/>
        <v>0</v>
      </c>
      <c r="AC105" s="24">
        <f t="shared" si="22"/>
        <v>0</v>
      </c>
      <c r="AD105" s="24">
        <f t="shared" si="22"/>
        <v>0</v>
      </c>
      <c r="AE105" s="24">
        <f t="shared" si="22"/>
        <v>0</v>
      </c>
      <c r="AF105" s="24">
        <f t="shared" si="22"/>
        <v>0</v>
      </c>
      <c r="AG105" s="24">
        <f t="shared" si="22"/>
        <v>3643.5</v>
      </c>
      <c r="AH105" s="24">
        <f t="shared" si="22"/>
        <v>0</v>
      </c>
      <c r="AI105" s="25">
        <f t="shared" si="23"/>
        <v>3643.5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16"/>
        <v>1932.08</v>
      </c>
      <c r="S106" s="17">
        <v>0</v>
      </c>
      <c r="T106" s="32"/>
      <c r="U106" s="17">
        <f t="shared" si="17"/>
        <v>1932.08</v>
      </c>
      <c r="W106" s="24">
        <f t="shared" si="22"/>
        <v>0</v>
      </c>
      <c r="X106" s="24">
        <f t="shared" si="22"/>
        <v>0</v>
      </c>
      <c r="Y106" s="24">
        <f t="shared" si="22"/>
        <v>0</v>
      </c>
      <c r="Z106" s="24">
        <f t="shared" si="22"/>
        <v>0</v>
      </c>
      <c r="AA106" s="24">
        <f t="shared" si="22"/>
        <v>0</v>
      </c>
      <c r="AB106" s="24">
        <f t="shared" si="22"/>
        <v>0</v>
      </c>
      <c r="AC106" s="24">
        <f t="shared" si="22"/>
        <v>0</v>
      </c>
      <c r="AD106" s="24">
        <f t="shared" si="22"/>
        <v>0</v>
      </c>
      <c r="AE106" s="24">
        <f t="shared" si="22"/>
        <v>2028.684</v>
      </c>
      <c r="AF106" s="24">
        <f t="shared" si="22"/>
        <v>0</v>
      </c>
      <c r="AG106" s="24">
        <f t="shared" si="22"/>
        <v>0</v>
      </c>
      <c r="AH106" s="24">
        <f t="shared" si="22"/>
        <v>0</v>
      </c>
      <c r="AI106" s="25">
        <f t="shared" si="23"/>
        <v>2028.684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T107" s="38"/>
      <c r="U107" s="17">
        <f t="shared" si="17"/>
        <v>165419.94999999995</v>
      </c>
      <c r="W107" s="24">
        <f t="shared" si="22"/>
        <v>71784.552000000011</v>
      </c>
      <c r="X107" s="24">
        <f t="shared" si="22"/>
        <v>65453.272499999999</v>
      </c>
      <c r="Y107" s="24">
        <f t="shared" si="22"/>
        <v>110583.5325</v>
      </c>
      <c r="Z107" s="24">
        <f t="shared" si="22"/>
        <v>100955.85149999999</v>
      </c>
      <c r="AA107" s="24">
        <f t="shared" si="22"/>
        <v>74008.661999999997</v>
      </c>
      <c r="AB107" s="24">
        <f t="shared" si="22"/>
        <v>131663.6685</v>
      </c>
      <c r="AC107" s="24">
        <f t="shared" si="22"/>
        <v>83433.755999999994</v>
      </c>
      <c r="AD107" s="24">
        <f t="shared" si="22"/>
        <v>86088.439499999993</v>
      </c>
      <c r="AE107" s="24">
        <f t="shared" si="22"/>
        <v>89663.920500000007</v>
      </c>
      <c r="AF107" s="24">
        <f t="shared" si="22"/>
        <v>104908.78649999997</v>
      </c>
      <c r="AG107" s="24">
        <f t="shared" si="22"/>
        <v>100174.22099999999</v>
      </c>
      <c r="AH107" s="24">
        <f t="shared" si="22"/>
        <v>113568.8855</v>
      </c>
      <c r="AI107" s="25">
        <f>SUM(W107:AH107)</f>
        <v>1132287.548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T108" s="114"/>
      <c r="U108" s="17">
        <f t="shared" si="17"/>
        <v>-350083</v>
      </c>
      <c r="W108" s="24">
        <f t="shared" si="22"/>
        <v>13860</v>
      </c>
      <c r="X108" s="24">
        <f t="shared" si="22"/>
        <v>0</v>
      </c>
      <c r="Y108" s="24">
        <f t="shared" si="22"/>
        <v>0</v>
      </c>
      <c r="Z108" s="24">
        <f t="shared" si="22"/>
        <v>13181.7</v>
      </c>
      <c r="AA108" s="24">
        <f t="shared" si="22"/>
        <v>0</v>
      </c>
      <c r="AB108" s="24">
        <f t="shared" si="22"/>
        <v>0</v>
      </c>
      <c r="AC108" s="24">
        <f t="shared" si="22"/>
        <v>0</v>
      </c>
      <c r="AD108" s="24">
        <f t="shared" si="22"/>
        <v>0</v>
      </c>
      <c r="AE108" s="24">
        <f t="shared" si="22"/>
        <v>0</v>
      </c>
      <c r="AF108" s="24">
        <f t="shared" si="22"/>
        <v>0</v>
      </c>
      <c r="AG108" s="24">
        <f t="shared" si="22"/>
        <v>122062.5</v>
      </c>
      <c r="AH108" s="24">
        <f t="shared" si="22"/>
        <v>65554.649999999994</v>
      </c>
      <c r="AI108" s="16">
        <f>SUM(W108:AH108)</f>
        <v>214658.85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24">SUM(F66:F108)</f>
        <v>775501.7200000002</v>
      </c>
      <c r="G109" s="140">
        <f t="shared" si="24"/>
        <v>697037.53000000014</v>
      </c>
      <c r="H109" s="140">
        <f t="shared" si="24"/>
        <v>874326.24</v>
      </c>
      <c r="I109" s="140">
        <f t="shared" si="24"/>
        <v>841975.76</v>
      </c>
      <c r="J109" s="140">
        <f t="shared" si="24"/>
        <v>957949.56999999983</v>
      </c>
      <c r="K109" s="140">
        <f t="shared" si="24"/>
        <v>1028309.89</v>
      </c>
      <c r="L109" s="140">
        <f t="shared" si="24"/>
        <v>1060293.73</v>
      </c>
      <c r="M109" s="140">
        <f t="shared" si="24"/>
        <v>852511.07</v>
      </c>
      <c r="N109" s="140">
        <f t="shared" si="24"/>
        <v>1075684.8500000003</v>
      </c>
      <c r="O109" s="140">
        <f t="shared" si="24"/>
        <v>1126034.72</v>
      </c>
      <c r="P109" s="140">
        <f t="shared" si="24"/>
        <v>1286926.2499999998</v>
      </c>
      <c r="Q109" s="140">
        <f t="shared" si="24"/>
        <v>1432566.7051666665</v>
      </c>
      <c r="R109" s="140">
        <f t="shared" si="24"/>
        <v>12009118.03516667</v>
      </c>
      <c r="S109" s="140">
        <f t="shared" si="24"/>
        <v>12072721.933833336</v>
      </c>
      <c r="T109" s="149"/>
      <c r="U109" s="140">
        <f>SUM(U66:U108)</f>
        <v>-63603.898666667694</v>
      </c>
      <c r="W109" s="140">
        <f t="shared" ref="W109:AI109" si="25">SUM(W66:W108)</f>
        <v>719335.40200000012</v>
      </c>
      <c r="X109" s="140">
        <f t="shared" si="25"/>
        <v>856400.60389999999</v>
      </c>
      <c r="Y109" s="140">
        <f t="shared" si="25"/>
        <v>879286.66974999988</v>
      </c>
      <c r="Z109" s="140">
        <f t="shared" si="25"/>
        <v>926455.26</v>
      </c>
      <c r="AA109" s="140">
        <f t="shared" si="25"/>
        <v>871837.16625000024</v>
      </c>
      <c r="AB109" s="140">
        <f t="shared" si="25"/>
        <v>1231523.6962499998</v>
      </c>
      <c r="AC109" s="140">
        <f t="shared" si="25"/>
        <v>955393.7537</v>
      </c>
      <c r="AD109" s="140">
        <f t="shared" si="25"/>
        <v>1022085.3537000001</v>
      </c>
      <c r="AE109" s="140">
        <f t="shared" si="25"/>
        <v>1038376.6125</v>
      </c>
      <c r="AF109" s="140">
        <f t="shared" si="25"/>
        <v>1237262.2906500001</v>
      </c>
      <c r="AG109" s="140">
        <f t="shared" si="25"/>
        <v>1271895.2395000001</v>
      </c>
      <c r="AH109" s="140">
        <f t="shared" si="25"/>
        <v>1721300.4577924998</v>
      </c>
      <c r="AI109" s="140">
        <f t="shared" si="25"/>
        <v>12731152.5059925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T110" s="34"/>
      <c r="U110" s="4"/>
      <c r="W110" s="33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62"/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T111" s="55"/>
      <c r="U111" s="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63"/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>SUM(F112:Q112)</f>
        <v>539738.13</v>
      </c>
      <c r="S112" s="14">
        <v>516812</v>
      </c>
      <c r="T112" s="34"/>
      <c r="U112" s="14">
        <f t="shared" ref="U112:U124" si="26">+R112-S112</f>
        <v>22926.130000000005</v>
      </c>
      <c r="W112" s="22"/>
      <c r="X112" s="12"/>
      <c r="Y112" s="36"/>
      <c r="Z112" s="36"/>
      <c r="AA112" s="36"/>
      <c r="AB112" s="36"/>
      <c r="AC112" s="36"/>
      <c r="AD112" s="108"/>
      <c r="AE112" s="36"/>
      <c r="AF112" s="36"/>
      <c r="AG112" s="36"/>
      <c r="AH112" s="64"/>
      <c r="AI112" s="64">
        <f>SUM(W112:AH112)</f>
        <v>0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>SUM(F113:Q113)</f>
        <v>908632.82</v>
      </c>
      <c r="S113" s="17">
        <v>618960</v>
      </c>
      <c r="T113" s="19"/>
      <c r="U113" s="132">
        <f t="shared" si="26"/>
        <v>289672.81999999995</v>
      </c>
      <c r="V113" s="115" t="s">
        <v>118</v>
      </c>
      <c r="W113" s="24"/>
      <c r="X113" s="16"/>
      <c r="Y113" s="37"/>
      <c r="Z113" s="37"/>
      <c r="AA113" s="37"/>
      <c r="AB113" s="37"/>
      <c r="AC113" s="37"/>
      <c r="AD113" s="109"/>
      <c r="AE113" s="37"/>
      <c r="AF113" s="37"/>
      <c r="AG113" s="37"/>
      <c r="AH113" s="25"/>
      <c r="AI113" s="25">
        <f>SUM(W113:AH113)</f>
        <v>0</v>
      </c>
    </row>
    <row r="114" spans="1:35">
      <c r="A114" s="15"/>
      <c r="B114" s="15"/>
      <c r="C114" s="17"/>
      <c r="D114" s="68"/>
      <c r="E114" s="31"/>
      <c r="F114" s="16"/>
      <c r="G114" s="16"/>
      <c r="H114" s="37"/>
      <c r="I114" s="37"/>
      <c r="J114" s="37"/>
      <c r="K114" s="37"/>
      <c r="L114" s="37"/>
      <c r="M114" s="109"/>
      <c r="N114" s="37"/>
      <c r="O114" s="37"/>
      <c r="P114" s="37"/>
      <c r="Q114" s="25"/>
      <c r="R114" s="25"/>
      <c r="S114" s="17"/>
      <c r="T114" s="34"/>
      <c r="U114" s="17">
        <f t="shared" si="26"/>
        <v>0</v>
      </c>
      <c r="W114" s="16"/>
      <c r="X114" s="16"/>
      <c r="Y114" s="37"/>
      <c r="Z114" s="37"/>
      <c r="AA114" s="37"/>
      <c r="AB114" s="37"/>
      <c r="AC114" s="37"/>
      <c r="AD114" s="109"/>
      <c r="AE114" s="37"/>
      <c r="AF114" s="37"/>
      <c r="AG114" s="37"/>
      <c r="AH114" s="25"/>
      <c r="AI114" s="25"/>
    </row>
    <row r="115" spans="1:35">
      <c r="A115" s="15"/>
      <c r="B115" s="15"/>
      <c r="C115" s="17">
        <v>84370</v>
      </c>
      <c r="D115" s="68" t="s">
        <v>45</v>
      </c>
      <c r="E115" s="31"/>
      <c r="F115" s="24">
        <v>11968.43</v>
      </c>
      <c r="G115" s="16">
        <v>4539.54</v>
      </c>
      <c r="H115" s="37">
        <v>26407.89</v>
      </c>
      <c r="I115" s="37">
        <v>41882.559999999998</v>
      </c>
      <c r="J115" s="37">
        <v>12053.61</v>
      </c>
      <c r="K115" s="37">
        <v>22791.84</v>
      </c>
      <c r="L115" s="37">
        <v>12265.81</v>
      </c>
      <c r="M115" s="109">
        <v>18581.05</v>
      </c>
      <c r="N115" s="37">
        <v>11517.22</v>
      </c>
      <c r="O115" s="37">
        <v>7608.32</v>
      </c>
      <c r="P115" s="37">
        <v>5909.07</v>
      </c>
      <c r="Q115" s="25">
        <v>34916.67</v>
      </c>
      <c r="R115" s="25">
        <f>SUM(F115:Q115)</f>
        <v>210442.01</v>
      </c>
      <c r="S115" s="17">
        <v>419000</v>
      </c>
      <c r="T115" s="34"/>
      <c r="U115" s="17">
        <f t="shared" si="26"/>
        <v>-208557.99</v>
      </c>
      <c r="W115" s="24"/>
      <c r="X115" s="16"/>
      <c r="Y115" s="37"/>
      <c r="Z115" s="37"/>
      <c r="AA115" s="37"/>
      <c r="AB115" s="37"/>
      <c r="AC115" s="37"/>
      <c r="AD115" s="109"/>
      <c r="AE115" s="37"/>
      <c r="AF115" s="37"/>
      <c r="AG115" s="37"/>
      <c r="AH115" s="25"/>
      <c r="AI115" s="25">
        <f>SUM(W115:AH115)</f>
        <v>0</v>
      </c>
    </row>
    <row r="116" spans="1:35">
      <c r="A116" s="15"/>
      <c r="B116" s="15"/>
      <c r="C116" s="17">
        <v>2957.9</v>
      </c>
      <c r="D116" s="68" t="s">
        <v>46</v>
      </c>
      <c r="E116" s="31"/>
      <c r="F116" s="24"/>
      <c r="G116" s="16">
        <v>495.92</v>
      </c>
      <c r="H116" s="37">
        <v>1115</v>
      </c>
      <c r="I116" s="37">
        <v>1240</v>
      </c>
      <c r="J116" s="37"/>
      <c r="K116" s="37"/>
      <c r="L116" s="37"/>
      <c r="M116" s="109">
        <v>87</v>
      </c>
      <c r="N116" s="37"/>
      <c r="O116" s="37"/>
      <c r="P116" s="37">
        <v>533.6</v>
      </c>
      <c r="Q116" s="25">
        <v>1296.67</v>
      </c>
      <c r="R116" s="25">
        <f>SUM(F116:Q116)</f>
        <v>4768.1900000000005</v>
      </c>
      <c r="S116" s="17">
        <v>15560</v>
      </c>
      <c r="U116" s="17">
        <f t="shared" si="26"/>
        <v>-10791.81</v>
      </c>
      <c r="W116" s="24"/>
      <c r="X116" s="16"/>
      <c r="Y116" s="37"/>
      <c r="Z116" s="37"/>
      <c r="AA116" s="37"/>
      <c r="AB116" s="37"/>
      <c r="AC116" s="37"/>
      <c r="AD116" s="109"/>
      <c r="AE116" s="37"/>
      <c r="AF116" s="37"/>
      <c r="AG116" s="37"/>
      <c r="AH116" s="25"/>
      <c r="AI116" s="25">
        <f>SUM(W116:AH116)</f>
        <v>0</v>
      </c>
    </row>
    <row r="117" spans="1:35">
      <c r="A117" s="15"/>
      <c r="B117" s="15"/>
      <c r="C117" s="17"/>
      <c r="D117" s="68"/>
      <c r="E117" s="31"/>
      <c r="F117" s="39"/>
      <c r="G117" s="16"/>
      <c r="H117" s="37"/>
      <c r="I117" s="37"/>
      <c r="J117" s="37"/>
      <c r="K117" s="37"/>
      <c r="L117" s="37"/>
      <c r="M117" s="109"/>
      <c r="N117" s="37"/>
      <c r="O117" s="37"/>
      <c r="P117" s="37"/>
      <c r="Q117" s="25"/>
      <c r="R117" s="25"/>
      <c r="S117" s="17"/>
      <c r="U117" s="17">
        <f t="shared" si="26"/>
        <v>0</v>
      </c>
      <c r="W117" s="39"/>
      <c r="X117" s="16"/>
      <c r="Y117" s="37"/>
      <c r="Z117" s="37"/>
      <c r="AA117" s="37"/>
      <c r="AB117" s="37"/>
      <c r="AC117" s="37"/>
      <c r="AD117" s="109"/>
      <c r="AE117" s="37"/>
      <c r="AF117" s="37"/>
      <c r="AG117" s="37"/>
      <c r="AH117" s="25"/>
      <c r="AI117" s="25"/>
    </row>
    <row r="118" spans="1:35">
      <c r="A118" s="15"/>
      <c r="B118" s="15"/>
      <c r="C118" s="17">
        <v>355240.39000000007</v>
      </c>
      <c r="D118" s="83" t="s">
        <v>76</v>
      </c>
      <c r="E118" s="31"/>
      <c r="F118" s="24">
        <v>15832.15</v>
      </c>
      <c r="G118" s="16">
        <v>2456.41</v>
      </c>
      <c r="H118" s="37">
        <v>1950.42</v>
      </c>
      <c r="I118" s="37">
        <v>35058.19</v>
      </c>
      <c r="J118" s="37">
        <v>45300.92</v>
      </c>
      <c r="K118" s="37">
        <v>137178.28</v>
      </c>
      <c r="L118" s="37">
        <v>85127.13</v>
      </c>
      <c r="M118" s="109">
        <v>135600</v>
      </c>
      <c r="N118" s="37">
        <v>78424.5</v>
      </c>
      <c r="O118" s="37">
        <v>24723.200000000001</v>
      </c>
      <c r="P118" s="37">
        <v>10235.209999999999</v>
      </c>
      <c r="Q118" s="25"/>
      <c r="R118" s="25">
        <f>SUM(F118:Q118)</f>
        <v>571886.40999999992</v>
      </c>
      <c r="S118" s="17">
        <v>143938</v>
      </c>
      <c r="U118" s="132">
        <f t="shared" si="26"/>
        <v>427948.40999999992</v>
      </c>
      <c r="V118" s="115" t="s">
        <v>119</v>
      </c>
      <c r="W118" s="24"/>
      <c r="X118" s="16"/>
      <c r="Y118" s="37"/>
      <c r="Z118" s="37"/>
      <c r="AA118" s="37"/>
      <c r="AB118" s="37"/>
      <c r="AC118" s="37"/>
      <c r="AD118" s="109"/>
      <c r="AE118" s="37"/>
      <c r="AF118" s="37"/>
      <c r="AG118" s="37"/>
      <c r="AH118" s="25"/>
      <c r="AI118" s="25">
        <f>SUM(W118:AH118)</f>
        <v>0</v>
      </c>
    </row>
    <row r="119" spans="1:35">
      <c r="A119" s="15"/>
      <c r="B119" s="15"/>
      <c r="C119" s="17">
        <v>258875.74</v>
      </c>
      <c r="D119" s="68" t="s">
        <v>63</v>
      </c>
      <c r="E119" s="31"/>
      <c r="F119" s="24">
        <v>14758.39</v>
      </c>
      <c r="G119" s="16">
        <v>44347.06</v>
      </c>
      <c r="H119" s="16">
        <v>51910.41</v>
      </c>
      <c r="I119" s="16">
        <v>26277.24</v>
      </c>
      <c r="J119" s="16">
        <v>42845.91</v>
      </c>
      <c r="K119" s="16">
        <v>52709.93</v>
      </c>
      <c r="L119" s="16">
        <v>52814.82</v>
      </c>
      <c r="M119" s="96">
        <v>41682.21</v>
      </c>
      <c r="N119" s="16">
        <v>32316.36</v>
      </c>
      <c r="O119" s="16">
        <v>30908.959999999999</v>
      </c>
      <c r="P119" s="16">
        <v>23327.68</v>
      </c>
      <c r="Q119" s="25">
        <v>69840.58</v>
      </c>
      <c r="R119" s="25">
        <f t="shared" ref="R119:R124" si="27">SUM(F119:Q119)</f>
        <v>483739.55000000005</v>
      </c>
      <c r="S119" s="17">
        <v>838087</v>
      </c>
      <c r="U119" s="17">
        <f t="shared" si="26"/>
        <v>-354347.44999999995</v>
      </c>
      <c r="W119" s="24"/>
      <c r="X119" s="16"/>
      <c r="Y119" s="16"/>
      <c r="Z119" s="16"/>
      <c r="AA119" s="16"/>
      <c r="AB119" s="16"/>
      <c r="AC119" s="16"/>
      <c r="AD119" s="96"/>
      <c r="AE119" s="16"/>
      <c r="AF119" s="16"/>
      <c r="AG119" s="16"/>
      <c r="AH119" s="25"/>
      <c r="AI119" s="25">
        <f t="shared" ref="AI119:AI124" si="28">SUM(W119:AH119)</f>
        <v>0</v>
      </c>
    </row>
    <row r="120" spans="1:35">
      <c r="A120" s="15"/>
      <c r="B120" s="15"/>
      <c r="C120" s="17">
        <v>375</v>
      </c>
      <c r="D120" s="68" t="s">
        <v>71</v>
      </c>
      <c r="E120" s="31"/>
      <c r="F120" s="24"/>
      <c r="G120" s="16"/>
      <c r="H120" s="16"/>
      <c r="I120" s="16"/>
      <c r="J120" s="16"/>
      <c r="K120" s="16"/>
      <c r="L120" s="16"/>
      <c r="M120" s="96"/>
      <c r="N120" s="16"/>
      <c r="O120" s="16"/>
      <c r="P120" s="16"/>
      <c r="Q120" s="25">
        <v>4166.67</v>
      </c>
      <c r="R120" s="25">
        <f t="shared" si="27"/>
        <v>4166.67</v>
      </c>
      <c r="S120" s="17">
        <v>50000</v>
      </c>
      <c r="U120" s="17">
        <f t="shared" si="26"/>
        <v>-45833.33</v>
      </c>
      <c r="W120" s="24"/>
      <c r="X120" s="16"/>
      <c r="Y120" s="16"/>
      <c r="Z120" s="16"/>
      <c r="AA120" s="16"/>
      <c r="AB120" s="16"/>
      <c r="AC120" s="16"/>
      <c r="AD120" s="96"/>
      <c r="AE120" s="16"/>
      <c r="AF120" s="16"/>
      <c r="AG120" s="16"/>
      <c r="AH120" s="25"/>
      <c r="AI120" s="25">
        <f t="shared" si="28"/>
        <v>0</v>
      </c>
    </row>
    <row r="121" spans="1:35">
      <c r="A121" s="15"/>
      <c r="B121" s="15"/>
      <c r="C121" s="17">
        <v>0</v>
      </c>
      <c r="D121" s="83" t="s">
        <v>74</v>
      </c>
      <c r="E121" s="31"/>
      <c r="F121" s="24"/>
      <c r="G121" s="16"/>
      <c r="H121" s="16"/>
      <c r="I121" s="16"/>
      <c r="J121" s="16"/>
      <c r="K121" s="16"/>
      <c r="L121" s="16"/>
      <c r="M121" s="96"/>
      <c r="N121" s="16"/>
      <c r="O121" s="16"/>
      <c r="P121" s="16"/>
      <c r="Q121" s="25"/>
      <c r="R121" s="25">
        <f t="shared" si="27"/>
        <v>0</v>
      </c>
      <c r="S121" s="17"/>
      <c r="U121" s="17">
        <f t="shared" si="26"/>
        <v>0</v>
      </c>
      <c r="W121" s="24"/>
      <c r="X121" s="16"/>
      <c r="Y121" s="16"/>
      <c r="Z121" s="16"/>
      <c r="AA121" s="16"/>
      <c r="AB121" s="16"/>
      <c r="AC121" s="16"/>
      <c r="AD121" s="96"/>
      <c r="AE121" s="16"/>
      <c r="AF121" s="16"/>
      <c r="AG121" s="16"/>
      <c r="AH121" s="25"/>
      <c r="AI121" s="25">
        <f t="shared" si="28"/>
        <v>0</v>
      </c>
    </row>
    <row r="122" spans="1:35">
      <c r="A122" s="15"/>
      <c r="B122" s="15"/>
      <c r="C122" s="17">
        <v>458955.35000000003</v>
      </c>
      <c r="D122" s="83" t="s">
        <v>75</v>
      </c>
      <c r="E122" s="31"/>
      <c r="F122" s="24">
        <v>16783.22</v>
      </c>
      <c r="G122" s="16"/>
      <c r="H122" s="16"/>
      <c r="I122" s="16"/>
      <c r="J122" s="16"/>
      <c r="K122" s="16"/>
      <c r="L122" s="16"/>
      <c r="M122" s="96"/>
      <c r="N122" s="16"/>
      <c r="O122" s="16"/>
      <c r="P122" s="16"/>
      <c r="Q122" s="25"/>
      <c r="R122" s="25">
        <f t="shared" si="27"/>
        <v>16783.22</v>
      </c>
      <c r="S122" s="17"/>
      <c r="U122" s="132">
        <f t="shared" si="26"/>
        <v>16783.22</v>
      </c>
      <c r="V122" s="115" t="s">
        <v>130</v>
      </c>
      <c r="W122" s="24"/>
      <c r="X122" s="16"/>
      <c r="Y122" s="16"/>
      <c r="Z122" s="16"/>
      <c r="AA122" s="16"/>
      <c r="AB122" s="16"/>
      <c r="AC122" s="16"/>
      <c r="AD122" s="96"/>
      <c r="AE122" s="16"/>
      <c r="AF122" s="16"/>
      <c r="AG122" s="16"/>
      <c r="AH122" s="25"/>
      <c r="AI122" s="25">
        <f t="shared" si="28"/>
        <v>0</v>
      </c>
    </row>
    <row r="123" spans="1:35">
      <c r="A123" s="15"/>
      <c r="B123" s="15"/>
      <c r="C123" s="17">
        <v>156211.03</v>
      </c>
      <c r="D123" s="83" t="s">
        <v>80</v>
      </c>
      <c r="E123" s="31"/>
      <c r="F123" s="24">
        <v>70693.36</v>
      </c>
      <c r="G123" s="16">
        <v>65773.039999999994</v>
      </c>
      <c r="H123" s="16">
        <v>41118.36</v>
      </c>
      <c r="I123" s="16">
        <v>6034</v>
      </c>
      <c r="J123" s="16">
        <v>11336</v>
      </c>
      <c r="K123" s="16"/>
      <c r="L123" s="16"/>
      <c r="M123" s="96"/>
      <c r="N123" s="16"/>
      <c r="O123" s="16"/>
      <c r="P123" s="16"/>
      <c r="Q123" s="25"/>
      <c r="R123" s="25">
        <f t="shared" si="27"/>
        <v>194954.76</v>
      </c>
      <c r="S123" s="17"/>
      <c r="U123" s="132">
        <f t="shared" si="26"/>
        <v>194954.76</v>
      </c>
      <c r="V123" s="115" t="s">
        <v>120</v>
      </c>
      <c r="W123" s="24"/>
      <c r="X123" s="16"/>
      <c r="Y123" s="16"/>
      <c r="Z123" s="16"/>
      <c r="AA123" s="16"/>
      <c r="AB123" s="16"/>
      <c r="AC123" s="16"/>
      <c r="AD123" s="96"/>
      <c r="AE123" s="16"/>
      <c r="AF123" s="16"/>
      <c r="AG123" s="16"/>
      <c r="AH123" s="25"/>
      <c r="AI123" s="25">
        <f t="shared" si="28"/>
        <v>0</v>
      </c>
    </row>
    <row r="124" spans="1:35">
      <c r="A124" s="15"/>
      <c r="B124" s="15"/>
      <c r="C124" s="17"/>
      <c r="D124" s="104" t="s">
        <v>83</v>
      </c>
      <c r="E124" s="69"/>
      <c r="F124" s="39"/>
      <c r="G124" s="16"/>
      <c r="H124" s="16"/>
      <c r="I124" s="16">
        <v>6965</v>
      </c>
      <c r="J124" s="16">
        <v>2941.58</v>
      </c>
      <c r="K124" s="16">
        <v>2877.54</v>
      </c>
      <c r="L124" s="16">
        <v>2771.1</v>
      </c>
      <c r="M124" s="96">
        <v>2663.14</v>
      </c>
      <c r="N124" s="16">
        <v>2553.66</v>
      </c>
      <c r="O124" s="16">
        <v>2442.56</v>
      </c>
      <c r="P124" s="16">
        <v>2329.89</v>
      </c>
      <c r="Q124" s="16">
        <v>2330</v>
      </c>
      <c r="R124" s="25">
        <f t="shared" si="27"/>
        <v>27874.47</v>
      </c>
      <c r="S124" s="17"/>
      <c r="U124" s="132">
        <f t="shared" si="26"/>
        <v>27874.47</v>
      </c>
      <c r="V124" s="115" t="s">
        <v>121</v>
      </c>
      <c r="W124" s="39"/>
      <c r="X124" s="16"/>
      <c r="Y124" s="16"/>
      <c r="Z124" s="16"/>
      <c r="AA124" s="16"/>
      <c r="AB124" s="16"/>
      <c r="AC124" s="16"/>
      <c r="AD124" s="96"/>
      <c r="AE124" s="16"/>
      <c r="AF124" s="16"/>
      <c r="AG124" s="16"/>
      <c r="AH124" s="16"/>
      <c r="AI124" s="25">
        <f t="shared" si="28"/>
        <v>0</v>
      </c>
    </row>
    <row r="125" spans="1:35">
      <c r="A125" s="15"/>
      <c r="B125" s="15"/>
      <c r="C125" s="150">
        <v>2539667.09</v>
      </c>
      <c r="D125" s="147" t="s">
        <v>99</v>
      </c>
      <c r="E125" s="148"/>
      <c r="F125" s="150">
        <f t="shared" ref="F125:R125" si="29">SUM(F112:F124)</f>
        <v>316212.77</v>
      </c>
      <c r="G125" s="150">
        <f t="shared" si="29"/>
        <v>254939.85000000003</v>
      </c>
      <c r="H125" s="150">
        <f t="shared" si="29"/>
        <v>488089.62</v>
      </c>
      <c r="I125" s="150">
        <f t="shared" si="29"/>
        <v>179439.09999999998</v>
      </c>
      <c r="J125" s="150">
        <f t="shared" si="29"/>
        <v>235840.69</v>
      </c>
      <c r="K125" s="150">
        <f t="shared" si="29"/>
        <v>411046.92</v>
      </c>
      <c r="L125" s="150">
        <f t="shared" si="29"/>
        <v>209932.55000000002</v>
      </c>
      <c r="M125" s="150">
        <f t="shared" si="29"/>
        <v>235401.23</v>
      </c>
      <c r="N125" s="150">
        <f t="shared" si="29"/>
        <v>192453.28</v>
      </c>
      <c r="O125" s="150">
        <f t="shared" si="29"/>
        <v>155537</v>
      </c>
      <c r="P125" s="150">
        <f t="shared" si="29"/>
        <v>80269.960000000006</v>
      </c>
      <c r="Q125" s="150">
        <f t="shared" si="29"/>
        <v>203823.26</v>
      </c>
      <c r="R125" s="150">
        <f t="shared" si="29"/>
        <v>2962986.23</v>
      </c>
      <c r="S125" s="150">
        <f>SUM(S112:S124)</f>
        <v>2602357</v>
      </c>
      <c r="T125" s="146"/>
      <c r="U125" s="150">
        <f>SUM(U112:U124)</f>
        <v>360629.23</v>
      </c>
      <c r="W125" s="150">
        <f t="shared" ref="W125:AH125" si="30">SUM(W112:W124)</f>
        <v>0</v>
      </c>
      <c r="X125" s="150">
        <f t="shared" si="30"/>
        <v>0</v>
      </c>
      <c r="Y125" s="150">
        <f t="shared" si="30"/>
        <v>0</v>
      </c>
      <c r="Z125" s="150">
        <f t="shared" si="30"/>
        <v>0</v>
      </c>
      <c r="AA125" s="150">
        <f t="shared" si="30"/>
        <v>0</v>
      </c>
      <c r="AB125" s="150">
        <f t="shared" si="30"/>
        <v>0</v>
      </c>
      <c r="AC125" s="150">
        <f t="shared" si="30"/>
        <v>0</v>
      </c>
      <c r="AD125" s="150">
        <f t="shared" si="30"/>
        <v>0</v>
      </c>
      <c r="AE125" s="150">
        <f t="shared" si="30"/>
        <v>0</v>
      </c>
      <c r="AF125" s="150">
        <f t="shared" si="30"/>
        <v>0</v>
      </c>
      <c r="AG125" s="150">
        <f t="shared" si="30"/>
        <v>0</v>
      </c>
      <c r="AH125" s="150">
        <f t="shared" si="30"/>
        <v>0</v>
      </c>
      <c r="AI125" s="150">
        <v>3500000</v>
      </c>
    </row>
    <row r="126" spans="1:35" ht="21.75" customHeight="1">
      <c r="A126" s="15"/>
      <c r="B126" s="15"/>
      <c r="C126" s="151">
        <v>13925299.265999999</v>
      </c>
      <c r="D126" s="152" t="s">
        <v>48</v>
      </c>
      <c r="E126" s="152"/>
      <c r="F126" s="151">
        <f>+F62+F109+F125</f>
        <v>1146660.8500000001</v>
      </c>
      <c r="G126" s="151">
        <f t="shared" ref="G126:U126" si="31">+G62+G109+G125</f>
        <v>1004561.8800000001</v>
      </c>
      <c r="H126" s="151">
        <f t="shared" si="31"/>
        <v>1422435.63</v>
      </c>
      <c r="I126" s="151">
        <f t="shared" si="31"/>
        <v>1076881.3799999999</v>
      </c>
      <c r="J126" s="151">
        <f t="shared" si="31"/>
        <v>1252917.67</v>
      </c>
      <c r="K126" s="151">
        <f t="shared" si="31"/>
        <v>1505756.67</v>
      </c>
      <c r="L126" s="151">
        <f t="shared" si="31"/>
        <v>1334539.33</v>
      </c>
      <c r="M126" s="151">
        <f t="shared" si="31"/>
        <v>1149430.76</v>
      </c>
      <c r="N126" s="151">
        <f t="shared" si="31"/>
        <v>1331173.7000000004</v>
      </c>
      <c r="O126" s="151">
        <f t="shared" si="31"/>
        <v>1330156.6499999999</v>
      </c>
      <c r="P126" s="151">
        <f t="shared" si="31"/>
        <v>1429980.6299999997</v>
      </c>
      <c r="Q126" s="151">
        <f t="shared" si="31"/>
        <v>1755710.5155</v>
      </c>
      <c r="R126" s="153">
        <f t="shared" si="31"/>
        <v>15740205.665500004</v>
      </c>
      <c r="S126" s="153">
        <f t="shared" si="31"/>
        <v>15435962.933833336</v>
      </c>
      <c r="T126" s="153">
        <f t="shared" si="31"/>
        <v>0</v>
      </c>
      <c r="U126" s="153">
        <f t="shared" si="31"/>
        <v>304242.7316666657</v>
      </c>
      <c r="V126" s="136"/>
      <c r="W126" s="151">
        <f>+W62+W109+W125</f>
        <v>769539.16200000013</v>
      </c>
      <c r="X126" s="151">
        <f t="shared" ref="X126:AI126" si="32">+X62+X109+X125</f>
        <v>925716.16390000004</v>
      </c>
      <c r="Y126" s="151">
        <f t="shared" si="32"/>
        <v>933550.45424999984</v>
      </c>
      <c r="Z126" s="151">
        <f t="shared" si="32"/>
        <v>995864.55350000004</v>
      </c>
      <c r="AA126" s="151">
        <f t="shared" si="32"/>
        <v>923468.50625000021</v>
      </c>
      <c r="AB126" s="151">
        <f t="shared" si="32"/>
        <v>1312412.9967499997</v>
      </c>
      <c r="AC126" s="151">
        <f t="shared" si="32"/>
        <v>1012470.0157</v>
      </c>
      <c r="AD126" s="151">
        <f t="shared" si="32"/>
        <v>1098211.5392</v>
      </c>
      <c r="AE126" s="151">
        <f t="shared" si="32"/>
        <v>1093941.6725000001</v>
      </c>
      <c r="AF126" s="151">
        <f t="shared" si="32"/>
        <v>1299936.5691500001</v>
      </c>
      <c r="AG126" s="151">
        <f t="shared" si="32"/>
        <v>1327588.7985</v>
      </c>
      <c r="AH126" s="151">
        <f t="shared" si="32"/>
        <v>1857474.3732924997</v>
      </c>
      <c r="AI126" s="153">
        <f t="shared" si="32"/>
        <v>17050174.804992501</v>
      </c>
    </row>
    <row r="127" spans="1:35" ht="9.75" customHeight="1">
      <c r="A127" s="15"/>
      <c r="B127" s="15"/>
      <c r="C127" s="41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T127" s="99"/>
      <c r="U127" s="11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111"/>
    </row>
    <row r="128" spans="1:35" ht="18.75" customHeight="1">
      <c r="A128" s="15"/>
      <c r="B128" s="15"/>
      <c r="C128" s="133">
        <f>+C44-C126</f>
        <v>-647550.71600000001</v>
      </c>
      <c r="D128" s="134" t="s">
        <v>100</v>
      </c>
      <c r="E128" s="134"/>
      <c r="F128" s="133">
        <f>+F44-F126</f>
        <v>7020984.6600000001</v>
      </c>
      <c r="G128" s="133">
        <f t="shared" ref="G128:U128" si="33">+G44-G126</f>
        <v>-430746.42000000016</v>
      </c>
      <c r="H128" s="133">
        <f t="shared" si="33"/>
        <v>-324361.40999999992</v>
      </c>
      <c r="I128" s="133">
        <f t="shared" si="33"/>
        <v>-997062.81999999983</v>
      </c>
      <c r="J128" s="133">
        <f t="shared" si="33"/>
        <v>-1192724.1499999999</v>
      </c>
      <c r="K128" s="133">
        <f t="shared" si="33"/>
        <v>-946825.45</v>
      </c>
      <c r="L128" s="133">
        <f t="shared" si="33"/>
        <v>-1266596.27</v>
      </c>
      <c r="M128" s="133">
        <f t="shared" si="33"/>
        <v>529326.17999999993</v>
      </c>
      <c r="N128" s="133">
        <f t="shared" si="33"/>
        <v>966881.76999999979</v>
      </c>
      <c r="O128" s="133">
        <f t="shared" si="33"/>
        <v>273337.5</v>
      </c>
      <c r="P128" s="133">
        <f t="shared" si="33"/>
        <v>165845.60000000033</v>
      </c>
      <c r="Q128" s="133">
        <f t="shared" si="33"/>
        <v>-1425264.2455</v>
      </c>
      <c r="R128" s="135">
        <f t="shared" si="33"/>
        <v>2365397.9444999956</v>
      </c>
      <c r="S128" s="135">
        <f t="shared" si="33"/>
        <v>-1811670.5838333368</v>
      </c>
      <c r="T128" s="135">
        <f t="shared" si="33"/>
        <v>0</v>
      </c>
      <c r="U128" s="135">
        <f t="shared" si="33"/>
        <v>4184465.5283333352</v>
      </c>
      <c r="W128" s="133">
        <f>+W44-W126</f>
        <v>-769539.16200000013</v>
      </c>
      <c r="X128" s="133">
        <f t="shared" ref="X128:AH128" si="34">+X44-X126</f>
        <v>-925716.16390000004</v>
      </c>
      <c r="Y128" s="133">
        <f t="shared" si="34"/>
        <v>-933550.45424999984</v>
      </c>
      <c r="Z128" s="133">
        <f t="shared" si="34"/>
        <v>-995864.55350000004</v>
      </c>
      <c r="AA128" s="133">
        <f t="shared" si="34"/>
        <v>-923468.50625000021</v>
      </c>
      <c r="AB128" s="133">
        <f t="shared" si="34"/>
        <v>-1312412.9967499997</v>
      </c>
      <c r="AC128" s="133">
        <f t="shared" si="34"/>
        <v>-1012470.0157</v>
      </c>
      <c r="AD128" s="133">
        <f t="shared" si="34"/>
        <v>-1098211.5392</v>
      </c>
      <c r="AE128" s="133">
        <f t="shared" si="34"/>
        <v>-1093941.6725000001</v>
      </c>
      <c r="AF128" s="133">
        <f t="shared" si="34"/>
        <v>-1299936.5691500001</v>
      </c>
      <c r="AG128" s="133">
        <f t="shared" si="34"/>
        <v>-1327588.7985</v>
      </c>
      <c r="AH128" s="133">
        <f t="shared" si="34"/>
        <v>-1857474.3732924997</v>
      </c>
      <c r="AI128" s="135">
        <f>+AI44-AI126</f>
        <v>13358825.195007499</v>
      </c>
    </row>
    <row r="129" spans="1:35" ht="9.75" customHeight="1">
      <c r="A129" s="15"/>
      <c r="B129" s="15"/>
      <c r="C129" s="41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111"/>
      <c r="S129" s="111"/>
      <c r="T129" s="111"/>
      <c r="U129" s="11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111"/>
    </row>
    <row r="130" spans="1:35" ht="18.75" customHeight="1">
      <c r="A130" s="15"/>
      <c r="B130" s="15"/>
      <c r="C130" s="41"/>
      <c r="D130" s="119" t="s">
        <v>133</v>
      </c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111"/>
      <c r="S130" s="111"/>
      <c r="T130" s="111"/>
      <c r="U130" s="11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111"/>
    </row>
    <row r="131" spans="1:35" ht="18.75" customHeight="1">
      <c r="A131" s="15"/>
      <c r="B131" s="15"/>
      <c r="C131" s="122">
        <v>411735.64</v>
      </c>
      <c r="D131" s="120" t="s">
        <v>109</v>
      </c>
      <c r="E131" s="123"/>
      <c r="F131" s="122"/>
      <c r="G131" s="122"/>
      <c r="H131" s="122"/>
      <c r="I131" s="122"/>
      <c r="J131" s="122"/>
      <c r="K131" s="122"/>
      <c r="L131" s="122">
        <v>50.8</v>
      </c>
      <c r="M131" s="122"/>
      <c r="N131" s="122"/>
      <c r="O131" s="122"/>
      <c r="P131" s="122"/>
      <c r="Q131" s="122"/>
      <c r="R131" s="64">
        <f t="shared" ref="R131:R139" si="35">SUM(F131:Q131)</f>
        <v>50.8</v>
      </c>
      <c r="S131" s="122"/>
      <c r="T131" s="110"/>
      <c r="U131" s="110"/>
      <c r="W131" s="122"/>
      <c r="X131" s="122"/>
      <c r="Y131" s="122"/>
      <c r="Z131" s="122"/>
      <c r="AA131" s="122"/>
      <c r="AB131" s="122"/>
      <c r="AC131" s="122">
        <v>50.8</v>
      </c>
      <c r="AD131" s="122"/>
      <c r="AE131" s="122"/>
      <c r="AF131" s="122"/>
      <c r="AG131" s="122"/>
      <c r="AH131" s="122"/>
      <c r="AI131" s="64"/>
    </row>
    <row r="132" spans="1:35" ht="18.75" customHeight="1">
      <c r="A132" s="15"/>
      <c r="B132" s="15"/>
      <c r="C132" s="97"/>
      <c r="D132" s="121" t="s">
        <v>101</v>
      </c>
      <c r="E132" s="124"/>
      <c r="F132" s="97"/>
      <c r="G132" s="97"/>
      <c r="H132" s="97"/>
      <c r="I132" s="97"/>
      <c r="J132" s="97"/>
      <c r="K132" s="97"/>
      <c r="L132" s="97">
        <v>1000</v>
      </c>
      <c r="M132" s="97"/>
      <c r="N132" s="97"/>
      <c r="O132" s="97"/>
      <c r="P132" s="97">
        <v>6000</v>
      </c>
      <c r="Q132" s="97"/>
      <c r="R132" s="25">
        <f t="shared" si="35"/>
        <v>7000</v>
      </c>
      <c r="S132" s="97"/>
      <c r="T132" s="111"/>
      <c r="U132" s="111"/>
      <c r="W132" s="97"/>
      <c r="X132" s="97"/>
      <c r="Y132" s="97"/>
      <c r="Z132" s="97"/>
      <c r="AA132" s="97"/>
      <c r="AB132" s="97"/>
      <c r="AC132" s="97">
        <v>1000</v>
      </c>
      <c r="AD132" s="97"/>
      <c r="AE132" s="97"/>
      <c r="AF132" s="97"/>
      <c r="AG132" s="97">
        <v>6000</v>
      </c>
      <c r="AH132" s="97"/>
      <c r="AI132" s="25"/>
    </row>
    <row r="133" spans="1:35" ht="18.75" customHeight="1">
      <c r="A133" s="15"/>
      <c r="B133" s="15"/>
      <c r="C133" s="97"/>
      <c r="D133" s="121" t="s">
        <v>102</v>
      </c>
      <c r="E133" s="124"/>
      <c r="F133" s="97"/>
      <c r="G133" s="97"/>
      <c r="H133" s="97"/>
      <c r="I133" s="97"/>
      <c r="J133" s="97"/>
      <c r="K133" s="97"/>
      <c r="L133" s="97"/>
      <c r="M133" s="97"/>
      <c r="N133" s="97"/>
      <c r="O133" s="97">
        <v>9000</v>
      </c>
      <c r="P133" s="97">
        <v>4000</v>
      </c>
      <c r="Q133" s="97"/>
      <c r="R133" s="25">
        <f t="shared" si="35"/>
        <v>13000</v>
      </c>
      <c r="S133" s="97"/>
      <c r="T133" s="111"/>
      <c r="U133" s="111"/>
      <c r="W133" s="97"/>
      <c r="X133" s="97"/>
      <c r="Y133" s="97"/>
      <c r="Z133" s="97"/>
      <c r="AA133" s="97"/>
      <c r="AB133" s="97"/>
      <c r="AC133" s="97"/>
      <c r="AD133" s="97"/>
      <c r="AE133" s="97"/>
      <c r="AF133" s="97">
        <v>9000</v>
      </c>
      <c r="AG133" s="97">
        <v>4000</v>
      </c>
      <c r="AH133" s="97"/>
      <c r="AI133" s="25"/>
    </row>
    <row r="134" spans="1:35" ht="18.75" customHeight="1">
      <c r="A134" s="15"/>
      <c r="B134" s="15"/>
      <c r="C134" s="97"/>
      <c r="D134" s="121" t="s">
        <v>103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>
        <v>5850</v>
      </c>
      <c r="Q134" s="97"/>
      <c r="R134" s="25">
        <f t="shared" si="35"/>
        <v>5850</v>
      </c>
      <c r="S134" s="97"/>
      <c r="T134" s="111"/>
      <c r="U134" s="111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>
        <v>5850</v>
      </c>
      <c r="AH134" s="97"/>
      <c r="AI134" s="25"/>
    </row>
    <row r="135" spans="1:35" ht="18.75" customHeight="1">
      <c r="A135" s="15"/>
      <c r="B135" s="15"/>
      <c r="C135" s="97"/>
      <c r="D135" s="121" t="s">
        <v>104</v>
      </c>
      <c r="E135" s="124"/>
      <c r="F135" s="97"/>
      <c r="G135" s="97"/>
      <c r="H135" s="97"/>
      <c r="I135" s="97"/>
      <c r="J135" s="97"/>
      <c r="K135" s="97"/>
      <c r="L135" s="97">
        <v>20750</v>
      </c>
      <c r="M135" s="97">
        <v>3100</v>
      </c>
      <c r="N135" s="97">
        <v>19585.599999999999</v>
      </c>
      <c r="O135" s="97">
        <v>66261.83</v>
      </c>
      <c r="P135" s="97">
        <v>17896.759999999998</v>
      </c>
      <c r="Q135" s="97"/>
      <c r="R135" s="25">
        <f t="shared" si="35"/>
        <v>127594.18999999999</v>
      </c>
      <c r="S135" s="97"/>
      <c r="T135" s="111"/>
      <c r="U135" s="111"/>
      <c r="W135" s="97"/>
      <c r="X135" s="97"/>
      <c r="Y135" s="97"/>
      <c r="Z135" s="97"/>
      <c r="AA135" s="97"/>
      <c r="AB135" s="97"/>
      <c r="AC135" s="97">
        <v>20750</v>
      </c>
      <c r="AD135" s="97">
        <v>3100</v>
      </c>
      <c r="AE135" s="97">
        <v>19585.599999999999</v>
      </c>
      <c r="AF135" s="97">
        <v>66261.83</v>
      </c>
      <c r="AG135" s="97">
        <v>17896.759999999998</v>
      </c>
      <c r="AH135" s="97"/>
      <c r="AI135" s="25"/>
    </row>
    <row r="136" spans="1:35" ht="18.75" customHeight="1">
      <c r="A136" s="15"/>
      <c r="B136" s="15"/>
      <c r="C136" s="97">
        <v>49316.99</v>
      </c>
      <c r="D136" s="121" t="s">
        <v>105</v>
      </c>
      <c r="E136" s="124"/>
      <c r="F136" s="97"/>
      <c r="G136" s="97"/>
      <c r="H136" s="97">
        <v>50000</v>
      </c>
      <c r="I136" s="97">
        <v>121418.88</v>
      </c>
      <c r="J136" s="97">
        <v>141928.92000000001</v>
      </c>
      <c r="K136" s="97">
        <v>72170.75</v>
      </c>
      <c r="L136" s="97">
        <v>350858.35</v>
      </c>
      <c r="M136" s="97">
        <v>430868.94</v>
      </c>
      <c r="N136" s="97">
        <v>496553.14</v>
      </c>
      <c r="O136" s="97">
        <v>239531.45</v>
      </c>
      <c r="P136" s="97">
        <v>350748.27</v>
      </c>
      <c r="Q136" s="97"/>
      <c r="R136" s="25">
        <f t="shared" si="35"/>
        <v>2254078.7000000002</v>
      </c>
      <c r="S136" s="97"/>
      <c r="T136" s="111"/>
      <c r="U136" s="111"/>
      <c r="W136" s="97"/>
      <c r="X136" s="97"/>
      <c r="Y136" s="97">
        <v>50000</v>
      </c>
      <c r="Z136" s="97">
        <v>121418.88</v>
      </c>
      <c r="AA136" s="97">
        <v>141928.92000000001</v>
      </c>
      <c r="AB136" s="97">
        <v>72170.75</v>
      </c>
      <c r="AC136" s="97">
        <v>350858.35</v>
      </c>
      <c r="AD136" s="97">
        <v>430868.94</v>
      </c>
      <c r="AE136" s="97">
        <v>496553.14</v>
      </c>
      <c r="AF136" s="97">
        <v>239531.45</v>
      </c>
      <c r="AG136" s="97">
        <v>350748.27</v>
      </c>
      <c r="AH136" s="97"/>
      <c r="AI136" s="25"/>
    </row>
    <row r="137" spans="1:35" ht="18.75" customHeight="1">
      <c r="A137" s="15"/>
      <c r="B137" s="15"/>
      <c r="C137" s="97"/>
      <c r="D137" s="121" t="s">
        <v>106</v>
      </c>
      <c r="E137" s="124"/>
      <c r="F137" s="97"/>
      <c r="G137" s="97"/>
      <c r="H137" s="97"/>
      <c r="I137" s="97"/>
      <c r="J137" s="97"/>
      <c r="K137" s="97">
        <v>5603.45</v>
      </c>
      <c r="L137" s="97">
        <v>23218.2</v>
      </c>
      <c r="M137" s="97"/>
      <c r="N137" s="97"/>
      <c r="O137" s="97"/>
      <c r="P137" s="97"/>
      <c r="Q137" s="97"/>
      <c r="R137" s="25">
        <f t="shared" si="35"/>
        <v>28821.65</v>
      </c>
      <c r="S137" s="97"/>
      <c r="T137" s="111"/>
      <c r="U137" s="111"/>
      <c r="W137" s="97"/>
      <c r="X137" s="97"/>
      <c r="Y137" s="97"/>
      <c r="Z137" s="97"/>
      <c r="AA137" s="97"/>
      <c r="AB137" s="97">
        <v>5603.45</v>
      </c>
      <c r="AC137" s="97">
        <v>23218.2</v>
      </c>
      <c r="AD137" s="97"/>
      <c r="AE137" s="97"/>
      <c r="AF137" s="97"/>
      <c r="AG137" s="97"/>
      <c r="AH137" s="97"/>
      <c r="AI137" s="25"/>
    </row>
    <row r="138" spans="1:35" ht="18.75" customHeight="1">
      <c r="A138" s="15"/>
      <c r="B138" s="15"/>
      <c r="C138" s="97"/>
      <c r="D138" s="121" t="s">
        <v>107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>
        <v>46836.35</v>
      </c>
      <c r="O138" s="97">
        <v>58023.78</v>
      </c>
      <c r="P138" s="97">
        <v>36868.199999999997</v>
      </c>
      <c r="Q138" s="97"/>
      <c r="R138" s="25">
        <f t="shared" si="35"/>
        <v>141728.33000000002</v>
      </c>
      <c r="S138" s="97"/>
      <c r="T138" s="111"/>
      <c r="U138" s="111"/>
      <c r="W138" s="97"/>
      <c r="X138" s="97"/>
      <c r="Y138" s="97"/>
      <c r="Z138" s="97"/>
      <c r="AA138" s="97"/>
      <c r="AB138" s="97"/>
      <c r="AC138" s="97"/>
      <c r="AD138" s="97"/>
      <c r="AE138" s="97">
        <v>46836.35</v>
      </c>
      <c r="AF138" s="97">
        <v>58023.78</v>
      </c>
      <c r="AG138" s="97">
        <v>36868.199999999997</v>
      </c>
      <c r="AH138" s="97"/>
      <c r="AI138" s="25"/>
    </row>
    <row r="139" spans="1:35" ht="18.75" customHeight="1">
      <c r="A139" s="15"/>
      <c r="B139" s="15"/>
      <c r="C139" s="97"/>
      <c r="D139" s="121" t="s">
        <v>108</v>
      </c>
      <c r="E139" s="124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>
        <v>48365.25</v>
      </c>
      <c r="Q139" s="97"/>
      <c r="R139" s="25">
        <f t="shared" si="35"/>
        <v>48365.25</v>
      </c>
      <c r="S139" s="97"/>
      <c r="T139" s="111"/>
      <c r="U139" s="111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>
        <v>48365.25</v>
      </c>
      <c r="AH139" s="97"/>
      <c r="AI139" s="25"/>
    </row>
    <row r="140" spans="1:35" ht="9.75" customHeight="1">
      <c r="A140" s="15"/>
      <c r="B140" s="15"/>
      <c r="C140" s="20"/>
      <c r="D140" s="125"/>
      <c r="E140" s="126"/>
      <c r="F140" s="127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28"/>
      <c r="S140" s="20"/>
      <c r="T140" s="100"/>
      <c r="U140" s="20"/>
      <c r="W140" s="127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28"/>
    </row>
    <row r="141" spans="1:35" ht="15" customHeight="1">
      <c r="A141" s="15"/>
      <c r="B141" s="15"/>
      <c r="C141" s="150">
        <f>SUM(C131:C140)</f>
        <v>461052.63</v>
      </c>
      <c r="D141" s="147" t="s">
        <v>134</v>
      </c>
      <c r="E141" s="148"/>
      <c r="F141" s="150">
        <f>SUM(F131:F140)</f>
        <v>0</v>
      </c>
      <c r="G141" s="150">
        <f t="shared" ref="G141:U141" si="36">SUM(G131:G140)</f>
        <v>0</v>
      </c>
      <c r="H141" s="150">
        <f t="shared" si="36"/>
        <v>50000</v>
      </c>
      <c r="I141" s="150">
        <f t="shared" si="36"/>
        <v>121418.88</v>
      </c>
      <c r="J141" s="150">
        <f t="shared" si="36"/>
        <v>141928.92000000001</v>
      </c>
      <c r="K141" s="150">
        <f t="shared" si="36"/>
        <v>77774.2</v>
      </c>
      <c r="L141" s="150">
        <f t="shared" si="36"/>
        <v>395877.35</v>
      </c>
      <c r="M141" s="150">
        <f t="shared" si="36"/>
        <v>433968.94</v>
      </c>
      <c r="N141" s="150">
        <f t="shared" si="36"/>
        <v>562975.09</v>
      </c>
      <c r="O141" s="150">
        <f t="shared" si="36"/>
        <v>372817.06000000006</v>
      </c>
      <c r="P141" s="150">
        <f t="shared" si="36"/>
        <v>469728.48000000004</v>
      </c>
      <c r="Q141" s="150">
        <f t="shared" si="36"/>
        <v>0</v>
      </c>
      <c r="R141" s="150">
        <f t="shared" si="36"/>
        <v>2626488.9200000004</v>
      </c>
      <c r="S141" s="150">
        <f t="shared" si="36"/>
        <v>0</v>
      </c>
      <c r="T141" s="150">
        <f t="shared" si="36"/>
        <v>0</v>
      </c>
      <c r="U141" s="150">
        <f t="shared" si="36"/>
        <v>0</v>
      </c>
      <c r="W141" s="150">
        <f>SUM(W131:W140)</f>
        <v>0</v>
      </c>
      <c r="X141" s="150">
        <f t="shared" ref="X141:AI141" si="37">SUM(X131:X140)</f>
        <v>0</v>
      </c>
      <c r="Y141" s="150">
        <f t="shared" si="37"/>
        <v>50000</v>
      </c>
      <c r="Z141" s="150">
        <f t="shared" si="37"/>
        <v>121418.88</v>
      </c>
      <c r="AA141" s="150">
        <f t="shared" si="37"/>
        <v>141928.92000000001</v>
      </c>
      <c r="AB141" s="150">
        <f t="shared" si="37"/>
        <v>77774.2</v>
      </c>
      <c r="AC141" s="150">
        <f t="shared" si="37"/>
        <v>395877.35</v>
      </c>
      <c r="AD141" s="150">
        <f t="shared" si="37"/>
        <v>433968.94</v>
      </c>
      <c r="AE141" s="150">
        <f t="shared" si="37"/>
        <v>562975.09</v>
      </c>
      <c r="AF141" s="150">
        <f t="shared" si="37"/>
        <v>372817.06000000006</v>
      </c>
      <c r="AG141" s="150">
        <f t="shared" si="37"/>
        <v>469728.48000000004</v>
      </c>
      <c r="AH141" s="150">
        <f t="shared" si="37"/>
        <v>0</v>
      </c>
      <c r="AI141" s="150">
        <f t="shared" si="37"/>
        <v>0</v>
      </c>
    </row>
    <row r="142" spans="1:35" ht="9.75" customHeight="1">
      <c r="A142" s="15"/>
      <c r="B142" s="15"/>
      <c r="C142" s="80"/>
      <c r="D142" s="129"/>
      <c r="E142" s="129"/>
      <c r="F142" s="129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30"/>
      <c r="S142" s="80"/>
      <c r="T142" s="131"/>
      <c r="U142" s="80"/>
      <c r="W142" s="129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30"/>
    </row>
    <row r="143" spans="1:35" s="44" customFormat="1" ht="19.5" thickBot="1">
      <c r="A143" s="42"/>
      <c r="B143" s="42"/>
      <c r="C143" s="154">
        <f>+C128-C141</f>
        <v>-1108603.3459999999</v>
      </c>
      <c r="D143" s="155" t="s">
        <v>49</v>
      </c>
      <c r="E143" s="155"/>
      <c r="F143" s="154">
        <f>+F128-F141</f>
        <v>7020984.6600000001</v>
      </c>
      <c r="G143" s="154">
        <f t="shared" ref="G143:U143" si="38">+G128-G141</f>
        <v>-430746.42000000016</v>
      </c>
      <c r="H143" s="154">
        <f t="shared" si="38"/>
        <v>-374361.40999999992</v>
      </c>
      <c r="I143" s="154">
        <f t="shared" si="38"/>
        <v>-1118481.6999999997</v>
      </c>
      <c r="J143" s="154">
        <f t="shared" si="38"/>
        <v>-1334653.0699999998</v>
      </c>
      <c r="K143" s="154">
        <f t="shared" si="38"/>
        <v>-1024599.6499999999</v>
      </c>
      <c r="L143" s="154">
        <f t="shared" si="38"/>
        <v>-1662473.62</v>
      </c>
      <c r="M143" s="154">
        <f t="shared" si="38"/>
        <v>95357.239999999932</v>
      </c>
      <c r="N143" s="154">
        <f t="shared" si="38"/>
        <v>403906.67999999982</v>
      </c>
      <c r="O143" s="154">
        <f t="shared" si="38"/>
        <v>-99479.560000000056</v>
      </c>
      <c r="P143" s="154">
        <f t="shared" si="38"/>
        <v>-303882.87999999971</v>
      </c>
      <c r="Q143" s="154">
        <f t="shared" si="38"/>
        <v>-1425264.2455</v>
      </c>
      <c r="R143" s="154">
        <f t="shared" si="38"/>
        <v>-261090.97550000483</v>
      </c>
      <c r="S143" s="154">
        <f t="shared" si="38"/>
        <v>-1811670.5838333368</v>
      </c>
      <c r="T143" s="154">
        <f t="shared" si="38"/>
        <v>0</v>
      </c>
      <c r="U143" s="154">
        <f t="shared" si="38"/>
        <v>4184465.5283333352</v>
      </c>
      <c r="V143" s="137"/>
      <c r="W143" s="154">
        <f>+W128-W141</f>
        <v>-769539.16200000013</v>
      </c>
      <c r="X143" s="154">
        <f t="shared" ref="X143:AI143" si="39">+X128-X141</f>
        <v>-925716.16390000004</v>
      </c>
      <c r="Y143" s="154">
        <f t="shared" si="39"/>
        <v>-983550.45424999984</v>
      </c>
      <c r="Z143" s="154">
        <f t="shared" si="39"/>
        <v>-1117283.4335</v>
      </c>
      <c r="AA143" s="154">
        <f t="shared" si="39"/>
        <v>-1065397.4262500003</v>
      </c>
      <c r="AB143" s="154">
        <f t="shared" si="39"/>
        <v>-1390187.1967499997</v>
      </c>
      <c r="AC143" s="154">
        <f t="shared" si="39"/>
        <v>-1408347.3657</v>
      </c>
      <c r="AD143" s="154">
        <f t="shared" si="39"/>
        <v>-1532180.4791999999</v>
      </c>
      <c r="AE143" s="154">
        <f t="shared" si="39"/>
        <v>-1656916.7625000002</v>
      </c>
      <c r="AF143" s="154">
        <f t="shared" si="39"/>
        <v>-1672753.6291500002</v>
      </c>
      <c r="AG143" s="154">
        <f t="shared" si="39"/>
        <v>-1797317.2785</v>
      </c>
      <c r="AH143" s="154">
        <f t="shared" si="39"/>
        <v>-1857474.3732924997</v>
      </c>
      <c r="AI143" s="154">
        <f t="shared" si="39"/>
        <v>13358825.195007499</v>
      </c>
    </row>
    <row r="144" spans="1:35" s="44" customFormat="1" ht="9" customHeight="1" thickTop="1">
      <c r="A144" s="42"/>
      <c r="B144" s="42"/>
      <c r="C144" s="45"/>
      <c r="D144" s="43"/>
      <c r="E144" s="43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5"/>
      <c r="U144" s="45"/>
      <c r="V144" s="137"/>
    </row>
    <row r="145" spans="4:21" ht="18.7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52"/>
      <c r="U145" s="52"/>
    </row>
    <row r="146" spans="4:21" ht="18.75">
      <c r="F146" s="46"/>
      <c r="G146" s="46"/>
      <c r="H146" s="46"/>
      <c r="I146" s="46"/>
      <c r="J146" s="46"/>
      <c r="K146" s="46"/>
      <c r="L146" s="46"/>
      <c r="M146" s="47"/>
      <c r="N146" s="47"/>
      <c r="O146" s="47"/>
      <c r="P146" s="47"/>
      <c r="Q146" s="47"/>
      <c r="R146" s="46"/>
      <c r="S146" s="46"/>
      <c r="T146" s="52"/>
      <c r="U146" s="52"/>
    </row>
    <row r="147" spans="4:21" ht="18.75">
      <c r="D147" s="84"/>
      <c r="F147" s="46"/>
      <c r="G147" s="46"/>
      <c r="H147" s="46"/>
      <c r="I147" s="46"/>
      <c r="J147" s="46"/>
      <c r="K147" s="46"/>
      <c r="L147" s="46"/>
      <c r="M147" s="47"/>
      <c r="N147" s="4">
        <v>1</v>
      </c>
      <c r="O147" s="15" t="s">
        <v>123</v>
      </c>
      <c r="P147" s="15"/>
      <c r="Q147" s="47"/>
      <c r="R147" s="53"/>
      <c r="T147" s="52"/>
      <c r="U147" s="52"/>
    </row>
    <row r="148" spans="4:21">
      <c r="D148" s="84"/>
      <c r="F148" s="46"/>
      <c r="G148" s="75"/>
      <c r="H148" s="75"/>
      <c r="I148" s="75"/>
      <c r="J148" s="75"/>
      <c r="K148" s="75"/>
      <c r="L148" s="75"/>
      <c r="M148" s="75"/>
      <c r="N148" s="4">
        <f>+N147+1</f>
        <v>2</v>
      </c>
      <c r="O148" s="15" t="s">
        <v>124</v>
      </c>
      <c r="P148" s="15"/>
      <c r="Q148" s="75"/>
      <c r="R148" s="81"/>
    </row>
    <row r="149" spans="4:21">
      <c r="D149" s="84"/>
      <c r="F149" s="46"/>
      <c r="G149" s="75"/>
      <c r="H149" s="75"/>
      <c r="I149" s="75"/>
      <c r="J149" s="75"/>
      <c r="K149" s="75"/>
      <c r="L149" s="75"/>
      <c r="M149" s="75"/>
      <c r="N149" s="4">
        <f t="shared" ref="N149:N158" si="40">+N148+1</f>
        <v>3</v>
      </c>
      <c r="O149" s="15" t="s">
        <v>132</v>
      </c>
      <c r="P149" s="15"/>
      <c r="Q149" s="75"/>
      <c r="R149" s="75"/>
    </row>
    <row r="150" spans="4:21">
      <c r="D150" s="84"/>
      <c r="F150" s="48"/>
      <c r="G150" s="75"/>
      <c r="H150" s="75"/>
      <c r="I150" s="75"/>
      <c r="J150" s="75"/>
      <c r="K150" s="75"/>
      <c r="L150" s="75"/>
      <c r="M150" s="75"/>
      <c r="N150" s="4">
        <f t="shared" si="40"/>
        <v>4</v>
      </c>
      <c r="O150" s="15" t="s">
        <v>132</v>
      </c>
      <c r="P150" s="15"/>
      <c r="Q150" s="75"/>
      <c r="R150" s="75"/>
    </row>
    <row r="151" spans="4:21">
      <c r="D151" s="84"/>
      <c r="E151" s="46"/>
      <c r="F151" s="50"/>
      <c r="G151" s="75"/>
      <c r="H151" s="75"/>
      <c r="I151" s="75"/>
      <c r="J151" s="75"/>
      <c r="K151" s="75"/>
      <c r="L151" s="75"/>
      <c r="M151" s="75"/>
      <c r="N151" s="4">
        <f t="shared" si="40"/>
        <v>5</v>
      </c>
      <c r="O151" s="15" t="s">
        <v>132</v>
      </c>
      <c r="P151" s="138"/>
      <c r="Q151" s="75"/>
      <c r="R151" s="75"/>
    </row>
    <row r="152" spans="4:21">
      <c r="D152" s="84"/>
      <c r="E152" s="49"/>
      <c r="N152" s="4">
        <f t="shared" si="40"/>
        <v>6</v>
      </c>
      <c r="O152" s="15" t="s">
        <v>125</v>
      </c>
      <c r="P152" s="139"/>
    </row>
    <row r="153" spans="4:21">
      <c r="D153" s="84"/>
      <c r="N153" s="4">
        <f t="shared" si="40"/>
        <v>7</v>
      </c>
      <c r="O153" s="15" t="s">
        <v>126</v>
      </c>
      <c r="P153" s="15"/>
      <c r="R153" s="47"/>
    </row>
    <row r="154" spans="4:21">
      <c r="D154" s="84"/>
      <c r="N154" s="4">
        <f t="shared" si="40"/>
        <v>8</v>
      </c>
      <c r="O154" s="15" t="s">
        <v>127</v>
      </c>
      <c r="P154" s="15"/>
    </row>
    <row r="155" spans="4:21">
      <c r="D155" s="84"/>
      <c r="N155" s="4">
        <f t="shared" si="40"/>
        <v>9</v>
      </c>
      <c r="O155" s="15" t="s">
        <v>74</v>
      </c>
      <c r="P155" s="15"/>
      <c r="R155" s="47"/>
    </row>
    <row r="156" spans="4:21">
      <c r="D156" s="84"/>
      <c r="N156" s="4">
        <f t="shared" si="40"/>
        <v>10</v>
      </c>
      <c r="O156" s="15" t="s">
        <v>128</v>
      </c>
      <c r="P156" s="15"/>
    </row>
    <row r="157" spans="4:21">
      <c r="D157" s="84"/>
      <c r="N157" s="4">
        <f t="shared" si="40"/>
        <v>11</v>
      </c>
      <c r="O157" s="15" t="s">
        <v>122</v>
      </c>
      <c r="P157" s="15"/>
      <c r="R157" s="47"/>
    </row>
    <row r="158" spans="4:21">
      <c r="D158" s="84"/>
      <c r="N158" s="4">
        <f t="shared" si="40"/>
        <v>12</v>
      </c>
      <c r="O158" s="15" t="s">
        <v>129</v>
      </c>
      <c r="P158" s="15"/>
    </row>
    <row r="159" spans="4:21">
      <c r="D159" s="84"/>
      <c r="N159" s="4">
        <v>13</v>
      </c>
      <c r="O159" s="15" t="s">
        <v>131</v>
      </c>
      <c r="P159" s="15"/>
    </row>
  </sheetData>
  <mergeCells count="2">
    <mergeCell ref="C1:S1"/>
    <mergeCell ref="D3:R3"/>
  </mergeCells>
  <pageMargins left="0.59055118110236227" right="0.82677165354330717" top="0.59055118110236227" bottom="0" header="0" footer="0"/>
  <pageSetup scale="74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3"/>
  <sheetViews>
    <sheetView showGridLines="0" zoomScale="76" zoomScaleNormal="76" workbookViewId="0">
      <pane xSplit="6" ySplit="9" topLeftCell="G19" activePane="bottomRight" state="frozen"/>
      <selection pane="topRight" activeCell="G1" sqref="G1"/>
      <selection pane="bottomLeft" activeCell="A10" sqref="A10"/>
      <selection pane="bottomRight" activeCell="E34" sqref="E34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4.42578125" style="415" customWidth="1"/>
    <col min="8" max="8" width="15.7109375" style="415" customWidth="1"/>
    <col min="9" max="9" width="17.28515625" style="265" customWidth="1"/>
    <col min="10" max="10" width="12.85546875" style="261" bestFit="1" customWidth="1"/>
    <col min="11" max="11" width="4.5703125" style="262" customWidth="1"/>
    <col min="12" max="12" width="14.5703125" style="260" hidden="1" customWidth="1"/>
    <col min="13" max="22" width="12.85546875" style="260" hidden="1" customWidth="1"/>
    <col min="23" max="23" width="13.140625" style="260" hidden="1" customWidth="1"/>
    <col min="24" max="26" width="0" style="260" hidden="1" customWidth="1"/>
    <col min="27" max="27" width="14" style="46" bestFit="1" customWidth="1"/>
    <col min="28" max="28" width="14.42578125" style="260" customWidth="1"/>
    <col min="29" max="29" width="13.28515625" style="260" bestFit="1" customWidth="1"/>
    <col min="30" max="30" width="12.5703125" style="260" bestFit="1" customWidth="1"/>
    <col min="31" max="16384" width="11.42578125" style="260"/>
  </cols>
  <sheetData>
    <row r="1" spans="1:23" ht="20.25">
      <c r="C1" s="536" t="s">
        <v>2</v>
      </c>
      <c r="D1" s="536"/>
      <c r="E1" s="536"/>
      <c r="F1" s="536"/>
      <c r="G1" s="536"/>
      <c r="H1" s="536"/>
      <c r="I1" s="536"/>
      <c r="L1" s="46"/>
      <c r="M1" s="46"/>
      <c r="N1" s="46"/>
    </row>
    <row r="2" spans="1:23">
      <c r="E2" s="263"/>
      <c r="F2" s="263"/>
      <c r="G2" s="264"/>
      <c r="H2" s="264"/>
      <c r="L2" s="46"/>
      <c r="M2" s="46"/>
      <c r="N2" s="46"/>
    </row>
    <row r="3" spans="1:23" ht="15.75">
      <c r="E3" s="537" t="s">
        <v>3</v>
      </c>
      <c r="F3" s="538"/>
      <c r="G3" s="539"/>
      <c r="H3" s="539"/>
      <c r="L3" s="424"/>
      <c r="M3" s="424"/>
      <c r="N3" s="424"/>
      <c r="U3" s="261"/>
    </row>
    <row r="4" spans="1:23" ht="15.75">
      <c r="E4" s="266" t="s">
        <v>348</v>
      </c>
      <c r="F4" s="267"/>
      <c r="G4" s="269"/>
      <c r="H4" s="268"/>
      <c r="I4" s="268"/>
      <c r="U4" s="261"/>
    </row>
    <row r="5" spans="1:23" ht="15">
      <c r="E5" s="270"/>
      <c r="F5" s="270"/>
      <c r="G5" s="271"/>
      <c r="H5" s="272"/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5</v>
      </c>
      <c r="R5" s="3">
        <v>4</v>
      </c>
      <c r="S5" s="3">
        <v>4</v>
      </c>
      <c r="T5" s="3">
        <v>5</v>
      </c>
      <c r="U5" s="442">
        <v>4</v>
      </c>
      <c r="V5" s="3">
        <v>4</v>
      </c>
      <c r="W5" s="3">
        <v>5</v>
      </c>
    </row>
    <row r="6" spans="1:23" ht="9" customHeight="1">
      <c r="E6" s="273"/>
      <c r="F6" s="273"/>
      <c r="G6" s="274"/>
      <c r="H6" s="274"/>
      <c r="L6"/>
      <c r="M6"/>
      <c r="N6"/>
      <c r="O6"/>
      <c r="P6"/>
      <c r="Q6"/>
      <c r="R6"/>
      <c r="S6"/>
      <c r="T6"/>
      <c r="U6" s="443"/>
      <c r="V6"/>
      <c r="W6"/>
    </row>
    <row r="7" spans="1:23" ht="15" customHeight="1">
      <c r="C7" s="275" t="s">
        <v>136</v>
      </c>
      <c r="D7" s="275" t="s">
        <v>136</v>
      </c>
      <c r="E7" s="273"/>
      <c r="F7" s="273"/>
      <c r="G7" s="275" t="s">
        <v>136</v>
      </c>
      <c r="H7" s="275" t="s">
        <v>136</v>
      </c>
      <c r="I7" s="275" t="s">
        <v>139</v>
      </c>
      <c r="L7"/>
      <c r="M7"/>
      <c r="N7"/>
      <c r="O7"/>
      <c r="P7"/>
      <c r="Q7"/>
      <c r="R7"/>
      <c r="S7"/>
      <c r="T7"/>
      <c r="U7" s="443"/>
      <c r="V7"/>
      <c r="W7"/>
    </row>
    <row r="8" spans="1:23" ht="15">
      <c r="B8" s="276"/>
      <c r="C8" s="277" t="s">
        <v>137</v>
      </c>
      <c r="D8" s="277" t="s">
        <v>138</v>
      </c>
      <c r="E8" s="278" t="s">
        <v>77</v>
      </c>
      <c r="F8" s="279"/>
      <c r="G8" s="277" t="s">
        <v>140</v>
      </c>
      <c r="H8" s="277" t="s">
        <v>337</v>
      </c>
      <c r="I8" s="277" t="s">
        <v>337</v>
      </c>
      <c r="J8" s="281" t="s">
        <v>92</v>
      </c>
      <c r="L8" s="65">
        <v>40909</v>
      </c>
      <c r="M8" s="65">
        <v>40940</v>
      </c>
      <c r="N8" s="65">
        <v>40969</v>
      </c>
      <c r="O8" s="65">
        <v>41000</v>
      </c>
      <c r="P8" s="65">
        <v>41030</v>
      </c>
      <c r="Q8" s="65">
        <v>41061</v>
      </c>
      <c r="R8" s="65">
        <v>41091</v>
      </c>
      <c r="S8" s="65">
        <v>41122</v>
      </c>
      <c r="T8" s="65">
        <v>41153</v>
      </c>
      <c r="U8" s="444">
        <v>41183</v>
      </c>
      <c r="V8" s="65">
        <v>41214</v>
      </c>
      <c r="W8" s="65">
        <v>41244</v>
      </c>
    </row>
    <row r="9" spans="1:23" ht="15">
      <c r="C9" s="282"/>
      <c r="D9" s="283"/>
      <c r="E9" s="284"/>
      <c r="F9" s="284"/>
      <c r="G9" s="283"/>
      <c r="H9" s="283"/>
      <c r="I9" s="282"/>
      <c r="J9" s="286"/>
    </row>
    <row r="10" spans="1:23" ht="18">
      <c r="C10" s="275"/>
      <c r="D10" s="287"/>
      <c r="E10" s="288" t="s">
        <v>4</v>
      </c>
      <c r="F10" s="289"/>
      <c r="G10" s="445"/>
      <c r="H10" s="287"/>
      <c r="I10" s="291"/>
      <c r="J10" s="292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</row>
    <row r="11" spans="1:23">
      <c r="C11" s="293"/>
      <c r="D11" s="294"/>
      <c r="E11" s="295"/>
      <c r="F11" s="296"/>
      <c r="G11" s="368"/>
      <c r="H11" s="294"/>
      <c r="I11" s="297"/>
      <c r="J11" s="297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</row>
    <row r="12" spans="1:23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368">
        <v>527193</v>
      </c>
      <c r="H12" s="294">
        <v>666068</v>
      </c>
      <c r="I12" s="297">
        <v>419457</v>
      </c>
      <c r="J12" s="297">
        <f>+H12-I12</f>
        <v>246611</v>
      </c>
      <c r="L12" s="297">
        <v>18700</v>
      </c>
      <c r="M12" s="294">
        <v>12795</v>
      </c>
      <c r="N12" s="294">
        <v>39770</v>
      </c>
      <c r="O12" s="294">
        <v>49055</v>
      </c>
      <c r="P12" s="294">
        <v>23420</v>
      </c>
      <c r="Q12" s="294">
        <v>19183</v>
      </c>
      <c r="R12" s="294">
        <v>18895</v>
      </c>
      <c r="S12" s="294">
        <v>15120</v>
      </c>
      <c r="T12" s="294">
        <v>14525</v>
      </c>
      <c r="U12" s="294">
        <v>24893</v>
      </c>
      <c r="V12" s="294">
        <v>26330</v>
      </c>
      <c r="W12" s="294">
        <v>24893</v>
      </c>
    </row>
    <row r="13" spans="1:23">
      <c r="A13" s="263"/>
      <c r="B13" s="263"/>
      <c r="C13" s="297"/>
      <c r="D13" s="294"/>
      <c r="E13" s="295"/>
      <c r="F13" s="296"/>
      <c r="G13" s="368"/>
      <c r="H13" s="294"/>
      <c r="I13" s="297"/>
      <c r="J13" s="297"/>
      <c r="L13" s="297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</row>
    <row r="14" spans="1:23" ht="15">
      <c r="A14" s="263"/>
      <c r="B14" s="263"/>
      <c r="C14" s="297"/>
      <c r="D14" s="294"/>
      <c r="E14" s="300" t="s">
        <v>141</v>
      </c>
      <c r="F14" s="296"/>
      <c r="G14" s="368">
        <v>338394</v>
      </c>
      <c r="H14" s="294">
        <v>2312526</v>
      </c>
      <c r="I14" s="297">
        <v>254532</v>
      </c>
      <c r="J14" s="297">
        <f t="shared" ref="J14:J25" si="0">+H14-I14</f>
        <v>2057994</v>
      </c>
      <c r="K14" s="262" t="s">
        <v>349</v>
      </c>
      <c r="L14" s="297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</row>
    <row r="15" spans="1:23">
      <c r="A15" s="263"/>
      <c r="B15" s="263"/>
      <c r="C15" s="297"/>
      <c r="D15" s="294"/>
      <c r="E15" s="298"/>
      <c r="F15" s="296"/>
      <c r="G15" s="368">
        <v>0</v>
      </c>
      <c r="H15" s="294"/>
      <c r="I15" s="297">
        <v>0</v>
      </c>
      <c r="J15" s="297">
        <f t="shared" si="0"/>
        <v>0</v>
      </c>
      <c r="L15" s="297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</row>
    <row r="16" spans="1:23" ht="15">
      <c r="A16" s="263"/>
      <c r="B16" s="263"/>
      <c r="C16" s="297"/>
      <c r="D16" s="294"/>
      <c r="E16" s="301" t="s">
        <v>89</v>
      </c>
      <c r="F16" s="296"/>
      <c r="G16" s="368">
        <v>0</v>
      </c>
      <c r="H16" s="294">
        <v>0</v>
      </c>
      <c r="I16" s="297">
        <v>0</v>
      </c>
      <c r="J16" s="297">
        <f t="shared" si="0"/>
        <v>0</v>
      </c>
      <c r="L16" s="297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</row>
    <row r="17" spans="1:29">
      <c r="A17" s="263"/>
      <c r="B17" s="263"/>
      <c r="C17" s="297">
        <v>4150000</v>
      </c>
      <c r="D17" s="294">
        <v>9130000</v>
      </c>
      <c r="E17" s="302" t="s">
        <v>300</v>
      </c>
      <c r="F17" s="296"/>
      <c r="G17" s="368">
        <v>1500000</v>
      </c>
      <c r="H17" s="294">
        <v>11000000</v>
      </c>
      <c r="I17" s="297">
        <v>6000000</v>
      </c>
      <c r="J17" s="297">
        <f t="shared" si="0"/>
        <v>5000000</v>
      </c>
      <c r="L17" s="294">
        <f>6000000/12</f>
        <v>500000</v>
      </c>
      <c r="M17" s="294">
        <f>6000000/12</f>
        <v>500000</v>
      </c>
      <c r="N17" s="294">
        <f>6000000/12</f>
        <v>500000</v>
      </c>
      <c r="O17" s="294">
        <f t="shared" ref="O17:W17" si="1">6000000/12</f>
        <v>500000</v>
      </c>
      <c r="P17" s="294">
        <f t="shared" si="1"/>
        <v>500000</v>
      </c>
      <c r="Q17" s="294">
        <f t="shared" si="1"/>
        <v>500000</v>
      </c>
      <c r="R17" s="294">
        <f t="shared" si="1"/>
        <v>500000</v>
      </c>
      <c r="S17" s="294">
        <f t="shared" si="1"/>
        <v>500000</v>
      </c>
      <c r="T17" s="294">
        <f t="shared" si="1"/>
        <v>500000</v>
      </c>
      <c r="U17" s="294">
        <f t="shared" si="1"/>
        <v>500000</v>
      </c>
      <c r="V17" s="294">
        <f t="shared" si="1"/>
        <v>500000</v>
      </c>
      <c r="W17" s="294">
        <f t="shared" si="1"/>
        <v>500000</v>
      </c>
      <c r="AB17" s="46"/>
      <c r="AC17" s="424"/>
    </row>
    <row r="18" spans="1:29">
      <c r="A18" s="263"/>
      <c r="B18" s="263"/>
      <c r="C18" s="297"/>
      <c r="D18" s="294"/>
      <c r="E18" s="302" t="s">
        <v>340</v>
      </c>
      <c r="F18" s="296"/>
      <c r="G18" s="368"/>
      <c r="H18" s="294">
        <v>1500000</v>
      </c>
      <c r="I18" s="297"/>
      <c r="J18" s="297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AB18" s="46"/>
      <c r="AC18" s="424"/>
    </row>
    <row r="19" spans="1:29">
      <c r="A19" s="263"/>
      <c r="B19" s="263"/>
      <c r="C19" s="297">
        <v>125000</v>
      </c>
      <c r="D19" s="294">
        <v>1030660.76</v>
      </c>
      <c r="E19" s="302" t="s">
        <v>301</v>
      </c>
      <c r="F19" s="296"/>
      <c r="G19" s="368">
        <v>2750000</v>
      </c>
      <c r="H19" s="294">
        <v>250000</v>
      </c>
      <c r="I19" s="297">
        <v>1000000</v>
      </c>
      <c r="J19" s="297">
        <f t="shared" si="0"/>
        <v>-750000</v>
      </c>
      <c r="L19" s="294">
        <f t="shared" ref="L19:W20" si="2">1000000/12</f>
        <v>83333.333333333328</v>
      </c>
      <c r="M19" s="294">
        <f t="shared" si="2"/>
        <v>83333.333333333328</v>
      </c>
      <c r="N19" s="294">
        <f t="shared" si="2"/>
        <v>83333.333333333328</v>
      </c>
      <c r="O19" s="294">
        <f t="shared" si="2"/>
        <v>83333.333333333328</v>
      </c>
      <c r="P19" s="294">
        <f t="shared" si="2"/>
        <v>83333.333333333328</v>
      </c>
      <c r="Q19" s="294">
        <f t="shared" si="2"/>
        <v>83333.333333333328</v>
      </c>
      <c r="R19" s="294">
        <f t="shared" si="2"/>
        <v>83333.333333333328</v>
      </c>
      <c r="S19" s="294">
        <f t="shared" si="2"/>
        <v>83333.333333333328</v>
      </c>
      <c r="T19" s="294">
        <f t="shared" si="2"/>
        <v>83333.333333333328</v>
      </c>
      <c r="U19" s="294">
        <f t="shared" si="2"/>
        <v>83333.333333333328</v>
      </c>
      <c r="V19" s="294">
        <f t="shared" si="2"/>
        <v>83333.333333333328</v>
      </c>
      <c r="W19" s="294">
        <f t="shared" si="2"/>
        <v>83333.333333333328</v>
      </c>
    </row>
    <row r="20" spans="1:29">
      <c r="A20" s="263"/>
      <c r="B20" s="263"/>
      <c r="C20" s="297">
        <v>1050000</v>
      </c>
      <c r="D20" s="294">
        <v>1000000</v>
      </c>
      <c r="E20" s="295" t="s">
        <v>86</v>
      </c>
      <c r="F20" s="296"/>
      <c r="G20" s="368">
        <v>1000000</v>
      </c>
      <c r="H20" s="294">
        <v>4004000</v>
      </c>
      <c r="I20" s="297">
        <v>1000000</v>
      </c>
      <c r="J20" s="297">
        <f t="shared" si="0"/>
        <v>3004000</v>
      </c>
      <c r="K20" s="262" t="s">
        <v>345</v>
      </c>
      <c r="L20" s="294">
        <f t="shared" si="2"/>
        <v>83333.333333333328</v>
      </c>
      <c r="M20" s="294">
        <f t="shared" si="2"/>
        <v>83333.333333333328</v>
      </c>
      <c r="N20" s="294">
        <f t="shared" si="2"/>
        <v>83333.333333333328</v>
      </c>
      <c r="O20" s="294">
        <f t="shared" si="2"/>
        <v>83333.333333333328</v>
      </c>
      <c r="P20" s="294">
        <f t="shared" si="2"/>
        <v>83333.333333333328</v>
      </c>
      <c r="Q20" s="294">
        <f t="shared" si="2"/>
        <v>83333.333333333328</v>
      </c>
      <c r="R20" s="294">
        <f t="shared" si="2"/>
        <v>83333.333333333328</v>
      </c>
      <c r="S20" s="294">
        <f t="shared" si="2"/>
        <v>83333.333333333328</v>
      </c>
      <c r="T20" s="294">
        <f t="shared" si="2"/>
        <v>83333.333333333328</v>
      </c>
      <c r="U20" s="294">
        <f t="shared" si="2"/>
        <v>83333.333333333328</v>
      </c>
      <c r="V20" s="294">
        <f t="shared" si="2"/>
        <v>83333.333333333328</v>
      </c>
      <c r="W20" s="294">
        <f t="shared" si="2"/>
        <v>83333.333333333328</v>
      </c>
    </row>
    <row r="21" spans="1:29">
      <c r="A21" s="263"/>
      <c r="B21" s="263"/>
      <c r="C21" s="297">
        <v>5000000</v>
      </c>
      <c r="D21" s="294">
        <v>8213794</v>
      </c>
      <c r="E21" s="302" t="s">
        <v>302</v>
      </c>
      <c r="F21" s="296"/>
      <c r="G21" s="368">
        <v>22500000</v>
      </c>
      <c r="H21" s="294">
        <v>5500000</v>
      </c>
      <c r="I21" s="297">
        <v>6000000</v>
      </c>
      <c r="J21" s="297">
        <f t="shared" si="0"/>
        <v>-500000</v>
      </c>
      <c r="L21" s="294">
        <f>6000000/12</f>
        <v>500000</v>
      </c>
      <c r="M21" s="294">
        <f>6000000/12</f>
        <v>500000</v>
      </c>
      <c r="N21" s="294">
        <f>6000000/12</f>
        <v>500000</v>
      </c>
      <c r="O21" s="294">
        <f t="shared" ref="O21:W21" si="3">6000000/12</f>
        <v>500000</v>
      </c>
      <c r="P21" s="294">
        <f t="shared" si="3"/>
        <v>500000</v>
      </c>
      <c r="Q21" s="294">
        <f t="shared" si="3"/>
        <v>500000</v>
      </c>
      <c r="R21" s="294">
        <f t="shared" si="3"/>
        <v>500000</v>
      </c>
      <c r="S21" s="294">
        <f t="shared" si="3"/>
        <v>500000</v>
      </c>
      <c r="T21" s="294">
        <f t="shared" si="3"/>
        <v>500000</v>
      </c>
      <c r="U21" s="294">
        <f t="shared" si="3"/>
        <v>500000</v>
      </c>
      <c r="V21" s="294">
        <f t="shared" si="3"/>
        <v>500000</v>
      </c>
      <c r="W21" s="294">
        <f t="shared" si="3"/>
        <v>500000</v>
      </c>
    </row>
    <row r="22" spans="1:29">
      <c r="A22" s="263"/>
      <c r="B22" s="263"/>
      <c r="C22" s="297"/>
      <c r="D22" s="294"/>
      <c r="E22" s="302" t="s">
        <v>303</v>
      </c>
      <c r="F22" s="296"/>
      <c r="G22" s="368">
        <v>0</v>
      </c>
      <c r="H22" s="294">
        <v>0</v>
      </c>
      <c r="I22" s="297">
        <v>0</v>
      </c>
      <c r="J22" s="297">
        <f t="shared" si="0"/>
        <v>0</v>
      </c>
      <c r="L22" s="297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</row>
    <row r="23" spans="1:29">
      <c r="A23" s="263"/>
      <c r="B23" s="263"/>
      <c r="C23" s="297">
        <v>800000</v>
      </c>
      <c r="D23" s="294">
        <v>0</v>
      </c>
      <c r="E23" s="302" t="s">
        <v>304</v>
      </c>
      <c r="F23" s="296"/>
      <c r="G23" s="368">
        <v>0</v>
      </c>
      <c r="H23" s="294">
        <v>3000000</v>
      </c>
      <c r="I23" s="297">
        <v>0</v>
      </c>
      <c r="J23" s="297">
        <f t="shared" si="0"/>
        <v>3000000</v>
      </c>
      <c r="K23" s="262" t="s">
        <v>346</v>
      </c>
      <c r="L23" s="297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</row>
    <row r="24" spans="1:29">
      <c r="A24" s="263"/>
      <c r="B24" s="263"/>
      <c r="C24" s="297">
        <v>50000</v>
      </c>
      <c r="D24" s="294">
        <v>25000</v>
      </c>
      <c r="E24" s="295" t="s">
        <v>88</v>
      </c>
      <c r="F24" s="296"/>
      <c r="G24" s="368">
        <v>0</v>
      </c>
      <c r="H24" s="294">
        <v>0</v>
      </c>
      <c r="I24" s="297">
        <v>0</v>
      </c>
      <c r="J24" s="297">
        <f t="shared" si="0"/>
        <v>0</v>
      </c>
      <c r="L24" s="297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</row>
    <row r="25" spans="1:29">
      <c r="A25" s="263"/>
      <c r="B25" s="263"/>
      <c r="C25" s="297">
        <f>472250+800</f>
        <v>473050</v>
      </c>
      <c r="D25" s="294">
        <v>46152.44</v>
      </c>
      <c r="E25" s="295" t="s">
        <v>38</v>
      </c>
      <c r="F25" s="296"/>
      <c r="G25" s="368">
        <v>1003875.08</v>
      </c>
      <c r="H25" s="294">
        <v>4213800</v>
      </c>
      <c r="I25" s="297">
        <v>5000000</v>
      </c>
      <c r="J25" s="297">
        <f t="shared" si="0"/>
        <v>-786200</v>
      </c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</row>
    <row r="26" spans="1:29" ht="15">
      <c r="A26" s="263"/>
      <c r="B26" s="263"/>
      <c r="C26" s="303">
        <f>SUM(C17:C25)</f>
        <v>11648050</v>
      </c>
      <c r="D26" s="303">
        <f>SUM(D17:D25)</f>
        <v>19445607.199999999</v>
      </c>
      <c r="E26" s="301" t="s">
        <v>90</v>
      </c>
      <c r="F26" s="296"/>
      <c r="G26" s="303">
        <f>SUM(G17:G25)</f>
        <v>28753875.079999998</v>
      </c>
      <c r="H26" s="303">
        <f t="shared" ref="H26:J26" si="4">SUM(H17:H25)</f>
        <v>29467800</v>
      </c>
      <c r="I26" s="303">
        <f t="shared" si="4"/>
        <v>19000000</v>
      </c>
      <c r="J26" s="303">
        <f t="shared" si="4"/>
        <v>8967800</v>
      </c>
      <c r="L26" s="303">
        <f t="shared" ref="L26:W26" si="5">SUM(L17:L25)</f>
        <v>1166666.6666666667</v>
      </c>
      <c r="M26" s="303">
        <f t="shared" si="5"/>
        <v>1166666.6666666667</v>
      </c>
      <c r="N26" s="303">
        <f t="shared" si="5"/>
        <v>1166666.6666666667</v>
      </c>
      <c r="O26" s="303">
        <f t="shared" si="5"/>
        <v>1166666.6666666667</v>
      </c>
      <c r="P26" s="303">
        <f t="shared" si="5"/>
        <v>1166666.6666666667</v>
      </c>
      <c r="Q26" s="303">
        <f t="shared" si="5"/>
        <v>1166666.6666666667</v>
      </c>
      <c r="R26" s="303">
        <f t="shared" si="5"/>
        <v>1166666.6666666667</v>
      </c>
      <c r="S26" s="303">
        <f t="shared" si="5"/>
        <v>1166666.6666666667</v>
      </c>
      <c r="T26" s="303">
        <f t="shared" si="5"/>
        <v>1166666.6666666667</v>
      </c>
      <c r="U26" s="303">
        <f t="shared" si="5"/>
        <v>1166666.6666666667</v>
      </c>
      <c r="V26" s="303">
        <f t="shared" si="5"/>
        <v>1166666.6666666667</v>
      </c>
      <c r="W26" s="303">
        <f t="shared" si="5"/>
        <v>1166666.6666666667</v>
      </c>
      <c r="AB26" s="424"/>
    </row>
    <row r="27" spans="1:29">
      <c r="A27" s="263"/>
      <c r="B27" s="263"/>
      <c r="C27" s="304"/>
      <c r="D27" s="294"/>
      <c r="E27" s="302"/>
      <c r="F27" s="305"/>
      <c r="G27" s="368">
        <v>0</v>
      </c>
      <c r="H27" s="294"/>
      <c r="I27" s="304">
        <v>0</v>
      </c>
      <c r="J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</row>
    <row r="28" spans="1:29" ht="15">
      <c r="A28" s="263"/>
      <c r="B28" s="263"/>
      <c r="C28" s="311">
        <v>13277748.549999999</v>
      </c>
      <c r="D28" s="311">
        <f>SUM(D12:D25)+SUM(D27:D27)</f>
        <v>19693307.199999999</v>
      </c>
      <c r="E28" s="453" t="s">
        <v>135</v>
      </c>
      <c r="F28" s="454"/>
      <c r="G28" s="455">
        <f>SUM(G12:G25)+SUM(G27:G27)</f>
        <v>29619462.079999998</v>
      </c>
      <c r="H28" s="455">
        <f>SUM(H12:H25)+SUM(H27:H27)</f>
        <v>32446394</v>
      </c>
      <c r="I28" s="455">
        <f>SUM(I12:I25)+SUM(I27:I27)</f>
        <v>19673989</v>
      </c>
      <c r="J28" s="455">
        <f>SUM(J12:J25)+SUM(J27:J27)</f>
        <v>11272405</v>
      </c>
      <c r="L28" s="311">
        <f t="shared" ref="L28:W28" si="6">SUM(L12:L25)+SUM(L27:L27)</f>
        <v>1185366.6666666667</v>
      </c>
      <c r="M28" s="311">
        <f t="shared" si="6"/>
        <v>1179461.6666666667</v>
      </c>
      <c r="N28" s="311">
        <f t="shared" si="6"/>
        <v>1206436.6666666667</v>
      </c>
      <c r="O28" s="311">
        <f t="shared" si="6"/>
        <v>1215721.6666666667</v>
      </c>
      <c r="P28" s="311">
        <f t="shared" si="6"/>
        <v>1190086.6666666667</v>
      </c>
      <c r="Q28" s="311">
        <f t="shared" si="6"/>
        <v>1185849.6666666667</v>
      </c>
      <c r="R28" s="311">
        <f t="shared" si="6"/>
        <v>1185561.6666666667</v>
      </c>
      <c r="S28" s="311">
        <f t="shared" si="6"/>
        <v>1181786.6666666667</v>
      </c>
      <c r="T28" s="311">
        <f t="shared" si="6"/>
        <v>1181191.6666666667</v>
      </c>
      <c r="U28" s="311">
        <f t="shared" si="6"/>
        <v>1191559.6666666667</v>
      </c>
      <c r="V28" s="311">
        <f t="shared" si="6"/>
        <v>1192996.6666666667</v>
      </c>
      <c r="W28" s="311">
        <f t="shared" si="6"/>
        <v>1191559.6666666667</v>
      </c>
    </row>
    <row r="29" spans="1:29" ht="15">
      <c r="A29" s="263"/>
      <c r="B29" s="263"/>
      <c r="C29" s="314"/>
      <c r="D29" s="314"/>
      <c r="E29" s="263"/>
      <c r="F29" s="263"/>
      <c r="G29" s="314"/>
      <c r="H29" s="314"/>
      <c r="I29" s="314"/>
      <c r="J29" s="315"/>
    </row>
    <row r="30" spans="1:29" ht="15">
      <c r="A30" s="263"/>
      <c r="B30" s="263"/>
      <c r="C30" s="319"/>
      <c r="D30" s="446"/>
      <c r="E30" s="452" t="s">
        <v>15</v>
      </c>
      <c r="F30" s="333"/>
      <c r="G30" s="465">
        <v>737549</v>
      </c>
      <c r="H30" s="465">
        <v>1094161</v>
      </c>
      <c r="I30" s="466">
        <v>789746</v>
      </c>
      <c r="J30" s="460">
        <f t="shared" ref="J30:J34" si="7">+H30-I30</f>
        <v>304415</v>
      </c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</row>
    <row r="31" spans="1:29" ht="15">
      <c r="A31" s="263"/>
      <c r="B31" s="263"/>
      <c r="C31" s="401"/>
      <c r="D31" s="316"/>
      <c r="E31" s="461"/>
      <c r="F31" s="456"/>
      <c r="G31" s="96"/>
      <c r="H31" s="96"/>
      <c r="I31" s="17"/>
      <c r="J31" s="74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</row>
    <row r="32" spans="1:29">
      <c r="E32" s="461" t="s">
        <v>350</v>
      </c>
      <c r="F32" s="457"/>
      <c r="G32" s="467">
        <v>12934037</v>
      </c>
      <c r="H32" s="467">
        <v>15424851</v>
      </c>
      <c r="I32" s="17">
        <v>14729912</v>
      </c>
      <c r="J32" s="297">
        <f t="shared" si="7"/>
        <v>694939</v>
      </c>
    </row>
    <row r="33" spans="5:28">
      <c r="E33" s="461"/>
      <c r="F33" s="457"/>
      <c r="G33" s="467"/>
      <c r="H33" s="467"/>
      <c r="I33" s="17"/>
      <c r="J33" s="470"/>
    </row>
    <row r="34" spans="5:28">
      <c r="E34" s="462" t="s">
        <v>351</v>
      </c>
      <c r="F34" s="457"/>
      <c r="G34" s="467">
        <v>5483211</v>
      </c>
      <c r="H34" s="467">
        <v>4973926</v>
      </c>
      <c r="I34" s="17">
        <v>4224137</v>
      </c>
      <c r="J34" s="297">
        <f t="shared" si="7"/>
        <v>749789</v>
      </c>
    </row>
    <row r="35" spans="5:28">
      <c r="E35" s="463"/>
      <c r="F35" s="464"/>
      <c r="G35" s="468"/>
      <c r="H35" s="468"/>
      <c r="I35" s="20"/>
      <c r="J35" s="471"/>
    </row>
    <row r="36" spans="5:28" ht="12.75">
      <c r="E36" s="458" t="s">
        <v>352</v>
      </c>
      <c r="F36" s="459"/>
      <c r="G36" s="469">
        <f>SUM(G30:G35)</f>
        <v>19154797</v>
      </c>
      <c r="H36" s="469">
        <f>SUM(H30:H35)</f>
        <v>21492938</v>
      </c>
      <c r="I36" s="469">
        <f>SUM(I30:I35)</f>
        <v>19743795</v>
      </c>
      <c r="J36" s="469">
        <f>SUM(J30:J35)</f>
        <v>1749143</v>
      </c>
      <c r="AB36" s="424"/>
    </row>
    <row r="38" spans="5:28" ht="12.75">
      <c r="E38" s="458" t="s">
        <v>100</v>
      </c>
      <c r="F38" s="459"/>
      <c r="G38" s="469">
        <f>+G28-G36</f>
        <v>10464665.079999998</v>
      </c>
      <c r="H38" s="469">
        <f>+H28-H36</f>
        <v>10953456</v>
      </c>
      <c r="I38" s="469">
        <f>+I28-I36</f>
        <v>-69806</v>
      </c>
      <c r="J38" s="469">
        <f>+J28-J36</f>
        <v>9523262</v>
      </c>
    </row>
    <row r="40" spans="5:28" ht="12.75">
      <c r="E40" s="458" t="s">
        <v>133</v>
      </c>
      <c r="F40" s="459"/>
      <c r="G40" s="469">
        <v>10261558</v>
      </c>
      <c r="H40" s="469">
        <v>8847394</v>
      </c>
      <c r="I40" s="469">
        <v>2351380</v>
      </c>
      <c r="J40" s="469">
        <f t="shared" ref="J40" si="8">+H40-I40</f>
        <v>6496014</v>
      </c>
    </row>
    <row r="42" spans="5:28" ht="13.5" thickBot="1">
      <c r="E42" s="472" t="s">
        <v>49</v>
      </c>
      <c r="F42" s="473"/>
      <c r="G42" s="474">
        <f>+G38-G40</f>
        <v>203107.07999999821</v>
      </c>
      <c r="H42" s="474">
        <f>+H38-H40</f>
        <v>2106062</v>
      </c>
      <c r="I42" s="474">
        <f>+I38-I40</f>
        <v>-2421186</v>
      </c>
      <c r="J42" s="475">
        <f>+J38-J40</f>
        <v>3027248</v>
      </c>
    </row>
    <row r="43" spans="5:28" ht="15" thickTop="1"/>
  </sheetData>
  <mergeCells count="2">
    <mergeCell ref="C1:I1"/>
    <mergeCell ref="E3:H3"/>
  </mergeCells>
  <pageMargins left="0.59055118110236227" right="0.23622047244094491" top="0.59055118110236227" bottom="0.59055118110236227" header="0" footer="0"/>
  <pageSetup scale="83" fitToHeight="2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Z182"/>
  <sheetViews>
    <sheetView zoomScale="76" zoomScaleNormal="76" workbookViewId="0">
      <pane xSplit="7" ySplit="10" topLeftCell="Y53" activePane="bottomRight" state="frozen"/>
      <selection pane="topRight" activeCell="G1" sqref="G1"/>
      <selection pane="bottomLeft" activeCell="A10" sqref="A10"/>
      <selection pane="bottomRight" activeCell="Z73" sqref="Z73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15.42578125" style="177" customWidth="1"/>
    <col min="6" max="6" width="54.140625" style="260" customWidth="1"/>
    <col min="7" max="7" width="5.42578125" style="260" customWidth="1"/>
    <col min="8" max="8" width="11.85546875" style="260" hidden="1" customWidth="1"/>
    <col min="9" max="17" width="11.85546875" style="415" hidden="1" customWidth="1"/>
    <col min="18" max="18" width="14.5703125" style="415" hidden="1" customWidth="1"/>
    <col min="19" max="20" width="14.42578125" style="415" hidden="1" customWidth="1"/>
    <col min="21" max="21" width="15.7109375" style="415" customWidth="1"/>
    <col min="22" max="22" width="17.28515625" style="265" hidden="1" customWidth="1"/>
    <col min="23" max="23" width="12.85546875" style="261" hidden="1" customWidth="1"/>
    <col min="24" max="24" width="4.5703125" style="262" hidden="1" customWidth="1"/>
    <col min="25" max="25" width="3.5703125" style="260" customWidth="1"/>
    <col min="26" max="26" width="14" style="46" customWidth="1"/>
    <col min="27" max="27" width="14.42578125" style="260" customWidth="1"/>
    <col min="28" max="28" width="13.28515625" style="260" customWidth="1"/>
    <col min="29" max="29" width="12.5703125" style="260" customWidth="1"/>
    <col min="30" max="37" width="11.42578125" style="260" customWidth="1"/>
    <col min="38" max="38" width="14" style="260" customWidth="1"/>
    <col min="39" max="51" width="0" style="260" hidden="1" customWidth="1"/>
    <col min="52" max="52" width="13" style="46" hidden="1" customWidth="1"/>
    <col min="53" max="58" width="0" style="260" hidden="1" customWidth="1"/>
    <col min="59" max="16384" width="11.42578125" style="260"/>
  </cols>
  <sheetData>
    <row r="2" spans="1:52" ht="20.25">
      <c r="C2" s="536" t="s">
        <v>2</v>
      </c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Z2" s="260"/>
    </row>
    <row r="3" spans="1:52">
      <c r="F3" s="263"/>
      <c r="G3" s="263"/>
      <c r="H3" s="263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</row>
    <row r="4" spans="1:52" ht="15.75">
      <c r="F4" s="537" t="s">
        <v>368</v>
      </c>
      <c r="G4" s="538"/>
      <c r="H4" s="538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Z4" s="50"/>
      <c r="AA4" s="50"/>
      <c r="AB4" s="50"/>
    </row>
    <row r="5" spans="1:52" ht="15.75">
      <c r="F5" s="266"/>
      <c r="G5" s="267"/>
      <c r="H5" s="267"/>
      <c r="I5" s="268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Z5" s="50"/>
      <c r="AA5" s="50"/>
      <c r="AB5" s="50"/>
      <c r="AM5" s="260" t="s">
        <v>366</v>
      </c>
      <c r="AN5" s="46">
        <f>(58507.89+3000+1304.6)*4</f>
        <v>251249.96</v>
      </c>
      <c r="AO5" s="46">
        <f>(58507.89+3000+1304.6)*4</f>
        <v>251249.96</v>
      </c>
      <c r="AP5" s="46">
        <f>(58507.89+3000+1304.6)*5</f>
        <v>314062.45</v>
      </c>
      <c r="AQ5" s="46">
        <f>(58507.89+3000+1304.6)*4</f>
        <v>251249.96</v>
      </c>
      <c r="AR5" s="46">
        <f>(58507.89+3000+1304.6)*4</f>
        <v>251249.96</v>
      </c>
      <c r="AS5" s="46">
        <f>(58507.89+3000+1304.6)*5</f>
        <v>314062.45</v>
      </c>
      <c r="AT5" s="46">
        <f>(58507.89+3000+1304.6)*4</f>
        <v>251249.96</v>
      </c>
      <c r="AU5" s="46">
        <f>(58507.89+3000+1304.6)*4</f>
        <v>251249.96</v>
      </c>
      <c r="AV5" s="46">
        <f>(58507.89+3000+1304.6)*5</f>
        <v>314062.45</v>
      </c>
      <c r="AW5" s="46">
        <f>(58507.89+3000+1304.6)*4</f>
        <v>251249.96</v>
      </c>
      <c r="AX5" s="46">
        <f>(58507.89+3000+1304.6)*4</f>
        <v>251249.96</v>
      </c>
      <c r="AY5" s="46">
        <f>(58507.89+3000+1304.6)*5</f>
        <v>314062.45</v>
      </c>
    </row>
    <row r="6" spans="1:52" ht="15">
      <c r="F6" s="270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2"/>
      <c r="AM6" s="260" t="s">
        <v>367</v>
      </c>
      <c r="AN6" s="46">
        <f t="shared" ref="AN6:AY6" si="0">(176181.91-25786.13)*2</f>
        <v>300791.56</v>
      </c>
      <c r="AO6" s="46">
        <f t="shared" si="0"/>
        <v>300791.56</v>
      </c>
      <c r="AP6" s="46">
        <f t="shared" si="0"/>
        <v>300791.56</v>
      </c>
      <c r="AQ6" s="46">
        <f t="shared" si="0"/>
        <v>300791.56</v>
      </c>
      <c r="AR6" s="46">
        <f t="shared" si="0"/>
        <v>300791.56</v>
      </c>
      <c r="AS6" s="46">
        <f t="shared" si="0"/>
        <v>300791.56</v>
      </c>
      <c r="AT6" s="46">
        <f t="shared" si="0"/>
        <v>300791.56</v>
      </c>
      <c r="AU6" s="46">
        <f t="shared" si="0"/>
        <v>300791.56</v>
      </c>
      <c r="AV6" s="46">
        <f t="shared" si="0"/>
        <v>300791.56</v>
      </c>
      <c r="AW6" s="46">
        <f t="shared" si="0"/>
        <v>300791.56</v>
      </c>
      <c r="AX6" s="46">
        <f t="shared" si="0"/>
        <v>300791.56</v>
      </c>
      <c r="AY6" s="46">
        <f t="shared" si="0"/>
        <v>300791.56</v>
      </c>
    </row>
    <row r="7" spans="1:52" ht="9" customHeight="1">
      <c r="F7" s="273"/>
      <c r="G7" s="273"/>
      <c r="H7" s="270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52" ht="15" customHeight="1">
      <c r="C8" s="275" t="s">
        <v>136</v>
      </c>
      <c r="D8" s="275" t="s">
        <v>136</v>
      </c>
      <c r="E8" s="275" t="s">
        <v>136</v>
      </c>
      <c r="F8" s="273"/>
      <c r="G8" s="273"/>
      <c r="H8" s="270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5" t="s">
        <v>136</v>
      </c>
      <c r="V8" s="275" t="s">
        <v>139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275" t="s">
        <v>139</v>
      </c>
      <c r="AN8" s="424">
        <f>+AN6+25786.13</f>
        <v>326577.69</v>
      </c>
    </row>
    <row r="9" spans="1:52" ht="15">
      <c r="B9" s="276"/>
      <c r="C9" s="277" t="s">
        <v>137</v>
      </c>
      <c r="D9" s="277" t="s">
        <v>138</v>
      </c>
      <c r="E9" s="277" t="s">
        <v>140</v>
      </c>
      <c r="F9" s="278" t="s">
        <v>77</v>
      </c>
      <c r="G9" s="279"/>
      <c r="H9" s="280">
        <v>40909</v>
      </c>
      <c r="I9" s="280">
        <v>40940</v>
      </c>
      <c r="J9" s="280">
        <v>40969</v>
      </c>
      <c r="K9" s="280">
        <v>41000</v>
      </c>
      <c r="L9" s="280">
        <v>41030</v>
      </c>
      <c r="M9" s="280">
        <v>41061</v>
      </c>
      <c r="N9" s="280">
        <v>41091</v>
      </c>
      <c r="O9" s="280">
        <v>41122</v>
      </c>
      <c r="P9" s="280">
        <v>41153</v>
      </c>
      <c r="Q9" s="280">
        <v>41183</v>
      </c>
      <c r="R9" s="280">
        <v>41214</v>
      </c>
      <c r="S9" s="280">
        <v>41244</v>
      </c>
      <c r="T9" s="280">
        <v>40909</v>
      </c>
      <c r="U9" s="277" t="s">
        <v>337</v>
      </c>
      <c r="V9" s="277" t="s">
        <v>337</v>
      </c>
      <c r="W9" s="281" t="s">
        <v>92</v>
      </c>
      <c r="Z9" s="280">
        <v>41275</v>
      </c>
      <c r="AA9" s="280">
        <v>41306</v>
      </c>
      <c r="AB9" s="280">
        <v>41334</v>
      </c>
      <c r="AC9" s="280">
        <v>41365</v>
      </c>
      <c r="AD9" s="280">
        <v>41395</v>
      </c>
      <c r="AE9" s="280">
        <v>41426</v>
      </c>
      <c r="AF9" s="280">
        <v>41456</v>
      </c>
      <c r="AG9" s="280">
        <v>41487</v>
      </c>
      <c r="AH9" s="280">
        <v>41518</v>
      </c>
      <c r="AI9" s="280">
        <v>41548</v>
      </c>
      <c r="AJ9" s="280">
        <v>41579</v>
      </c>
      <c r="AK9" s="280">
        <v>41609</v>
      </c>
      <c r="AL9" s="277" t="s">
        <v>365</v>
      </c>
      <c r="AN9" s="260">
        <v>4</v>
      </c>
      <c r="AO9" s="260">
        <v>4</v>
      </c>
      <c r="AP9" s="260">
        <v>5</v>
      </c>
    </row>
    <row r="10" spans="1:52" ht="15">
      <c r="C10" s="282"/>
      <c r="D10" s="283"/>
      <c r="E10" s="283"/>
      <c r="F10" s="284"/>
      <c r="G10" s="284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3"/>
      <c r="V10" s="282"/>
      <c r="W10" s="286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76" t="s">
        <v>313</v>
      </c>
      <c r="AN10" s="48" t="s">
        <v>353</v>
      </c>
      <c r="AO10" s="48" t="s">
        <v>354</v>
      </c>
      <c r="AP10" s="48" t="s">
        <v>355</v>
      </c>
      <c r="AQ10" s="48" t="s">
        <v>356</v>
      </c>
      <c r="AR10" s="48" t="s">
        <v>357</v>
      </c>
      <c r="AS10" s="48" t="s">
        <v>358</v>
      </c>
      <c r="AT10" s="48" t="s">
        <v>359</v>
      </c>
      <c r="AU10" s="48" t="s">
        <v>360</v>
      </c>
      <c r="AV10" s="48" t="s">
        <v>361</v>
      </c>
      <c r="AW10" s="48" t="s">
        <v>362</v>
      </c>
      <c r="AX10" s="48" t="s">
        <v>363</v>
      </c>
      <c r="AY10" s="48" t="s">
        <v>364</v>
      </c>
      <c r="AZ10" s="48" t="s">
        <v>313</v>
      </c>
    </row>
    <row r="11" spans="1:52" ht="18">
      <c r="C11" s="275"/>
      <c r="D11" s="287"/>
      <c r="E11" s="445"/>
      <c r="F11" s="288" t="s">
        <v>4</v>
      </c>
      <c r="G11" s="289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87"/>
      <c r="V11" s="291"/>
      <c r="W11" s="292"/>
      <c r="Z11" s="435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</row>
    <row r="12" spans="1:52">
      <c r="C12" s="293"/>
      <c r="D12" s="294"/>
      <c r="E12" s="368"/>
      <c r="F12" s="295"/>
      <c r="G12" s="296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7"/>
      <c r="W12" s="297"/>
      <c r="Z12" s="429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</row>
    <row r="13" spans="1:52">
      <c r="A13" s="263"/>
      <c r="B13" s="263"/>
      <c r="C13" s="297">
        <v>378618</v>
      </c>
      <c r="D13" s="294">
        <v>247700</v>
      </c>
      <c r="E13" s="368">
        <v>285316</v>
      </c>
      <c r="F13" s="295" t="s">
        <v>5</v>
      </c>
      <c r="G13" s="296"/>
      <c r="H13" s="297">
        <v>35510</v>
      </c>
      <c r="I13" s="294">
        <v>41275</v>
      </c>
      <c r="J13" s="294">
        <v>39650</v>
      </c>
      <c r="K13" s="294">
        <v>25730</v>
      </c>
      <c r="L13" s="294">
        <v>18055</v>
      </c>
      <c r="M13" s="294">
        <v>13655</v>
      </c>
      <c r="N13" s="294">
        <v>24815</v>
      </c>
      <c r="O13" s="294">
        <v>16050</v>
      </c>
      <c r="P13" s="294">
        <v>14565</v>
      </c>
      <c r="Q13" s="294">
        <v>28820</v>
      </c>
      <c r="R13" s="294">
        <v>11505</v>
      </c>
      <c r="S13" s="294">
        <v>7155</v>
      </c>
      <c r="T13" s="294"/>
      <c r="U13" s="294">
        <f t="shared" ref="U13:U37" si="1">SUM(H13:S13)+T13</f>
        <v>276785</v>
      </c>
      <c r="V13" s="297">
        <v>287579</v>
      </c>
      <c r="W13" s="297">
        <f>+U13-V13</f>
        <v>-10794</v>
      </c>
      <c r="Z13" s="429">
        <f>+AL13/12</f>
        <v>23065.416666666668</v>
      </c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81">
        <v>276785</v>
      </c>
    </row>
    <row r="14" spans="1:52">
      <c r="A14" s="263"/>
      <c r="B14" s="263"/>
      <c r="C14" s="297">
        <v>54361.250000000007</v>
      </c>
      <c r="D14" s="294">
        <v>65698.58</v>
      </c>
      <c r="E14" s="368">
        <v>56775.369999999995</v>
      </c>
      <c r="F14" s="298" t="s">
        <v>13</v>
      </c>
      <c r="G14" s="296"/>
      <c r="H14" s="297">
        <v>4991.38</v>
      </c>
      <c r="I14" s="294">
        <v>2641.38</v>
      </c>
      <c r="J14" s="294">
        <v>4936.2</v>
      </c>
      <c r="K14" s="294">
        <v>4086.21</v>
      </c>
      <c r="L14" s="294">
        <v>2956.9</v>
      </c>
      <c r="M14" s="299">
        <v>4008.62</v>
      </c>
      <c r="N14" s="294">
        <v>3146.55</v>
      </c>
      <c r="O14" s="294">
        <v>1870.69</v>
      </c>
      <c r="P14" s="294">
        <v>4801.72</v>
      </c>
      <c r="Q14" s="294">
        <v>7448.28</v>
      </c>
      <c r="R14" s="294">
        <v>6629.31</v>
      </c>
      <c r="S14" s="294">
        <v>2612.0700000000002</v>
      </c>
      <c r="T14" s="294"/>
      <c r="U14" s="294">
        <f t="shared" si="1"/>
        <v>50129.30999999999</v>
      </c>
      <c r="V14" s="297">
        <v>51131</v>
      </c>
      <c r="W14" s="297">
        <f t="shared" ref="W14:W41" si="2">+U14-V14</f>
        <v>-1001.6900000000096</v>
      </c>
      <c r="Z14" s="429">
        <f>+AL14/12</f>
        <v>4177.4424999999992</v>
      </c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81">
        <v>50129.30999999999</v>
      </c>
    </row>
    <row r="15" spans="1:52">
      <c r="A15" s="263"/>
      <c r="B15" s="263"/>
      <c r="C15" s="297">
        <v>85831.5</v>
      </c>
      <c r="D15" s="294">
        <v>125562.5</v>
      </c>
      <c r="E15" s="368">
        <v>145480.51</v>
      </c>
      <c r="F15" s="295" t="s">
        <v>12</v>
      </c>
      <c r="G15" s="296"/>
      <c r="H15" s="297">
        <v>103629.42</v>
      </c>
      <c r="I15" s="294">
        <v>30474.14</v>
      </c>
      <c r="J15" s="294">
        <v>3103.45</v>
      </c>
      <c r="K15" s="294"/>
      <c r="L15" s="294">
        <v>12715.51</v>
      </c>
      <c r="M15" s="294">
        <v>9913.7900000000009</v>
      </c>
      <c r="N15" s="294">
        <v>30965.52</v>
      </c>
      <c r="O15" s="294">
        <v>1637.93</v>
      </c>
      <c r="P15" s="294">
        <v>1120.69</v>
      </c>
      <c r="Q15" s="294">
        <v>15043.09</v>
      </c>
      <c r="R15" s="294">
        <v>602.45000000000005</v>
      </c>
      <c r="S15" s="294">
        <v>3017.24</v>
      </c>
      <c r="T15" s="294"/>
      <c r="U15" s="294">
        <f t="shared" si="1"/>
        <v>212223.23</v>
      </c>
      <c r="V15" s="297">
        <v>45481</v>
      </c>
      <c r="W15" s="297">
        <f t="shared" si="2"/>
        <v>166742.23000000001</v>
      </c>
      <c r="X15" s="449"/>
      <c r="Z15" s="429">
        <f>+AL15/12</f>
        <v>17685.269166666669</v>
      </c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81">
        <v>212223.23</v>
      </c>
    </row>
    <row r="16" spans="1:52">
      <c r="A16" s="263"/>
      <c r="B16" s="263"/>
      <c r="C16" s="297">
        <v>5429.4</v>
      </c>
      <c r="D16" s="294">
        <v>23587.899999999998</v>
      </c>
      <c r="E16" s="368">
        <v>39621.11</v>
      </c>
      <c r="F16" s="295" t="s">
        <v>67</v>
      </c>
      <c r="G16" s="296"/>
      <c r="H16" s="297">
        <v>2059.4</v>
      </c>
      <c r="I16" s="294">
        <v>2469.9</v>
      </c>
      <c r="J16" s="294">
        <v>3511.4</v>
      </c>
      <c r="K16" s="294">
        <v>3061.8</v>
      </c>
      <c r="L16" s="294">
        <v>3398.9</v>
      </c>
      <c r="M16" s="294">
        <v>5477.8</v>
      </c>
      <c r="N16" s="294"/>
      <c r="O16" s="294">
        <v>2557.6999999999998</v>
      </c>
      <c r="P16" s="294">
        <v>729</v>
      </c>
      <c r="Q16" s="294">
        <v>3530</v>
      </c>
      <c r="R16" s="294">
        <v>1706</v>
      </c>
      <c r="S16" s="294">
        <v>3169.25</v>
      </c>
      <c r="T16" s="294"/>
      <c r="U16" s="294">
        <f t="shared" si="1"/>
        <v>31671.15</v>
      </c>
      <c r="V16" s="297">
        <v>35266</v>
      </c>
      <c r="W16" s="297">
        <f t="shared" si="2"/>
        <v>-3594.8499999999985</v>
      </c>
      <c r="Z16" s="429">
        <f>+AL16/12</f>
        <v>2639.2625000000003</v>
      </c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81">
        <v>31671.15</v>
      </c>
    </row>
    <row r="17" spans="1:38">
      <c r="A17" s="263"/>
      <c r="B17" s="263"/>
      <c r="C17" s="297"/>
      <c r="D17" s="294"/>
      <c r="E17" s="368">
        <v>0</v>
      </c>
      <c r="F17" s="295"/>
      <c r="G17" s="296"/>
      <c r="H17" s="297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>
        <f t="shared" si="1"/>
        <v>0</v>
      </c>
      <c r="V17" s="297">
        <v>0</v>
      </c>
      <c r="W17" s="297">
        <f t="shared" si="2"/>
        <v>0</v>
      </c>
      <c r="Z17" s="429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81">
        <v>0</v>
      </c>
    </row>
    <row r="18" spans="1:38" ht="15">
      <c r="A18" s="263"/>
      <c r="B18" s="263"/>
      <c r="C18" s="297"/>
      <c r="D18" s="294"/>
      <c r="E18" s="368">
        <v>0</v>
      </c>
      <c r="F18" s="300" t="s">
        <v>141</v>
      </c>
      <c r="G18" s="296"/>
      <c r="H18" s="297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>
        <f t="shared" si="1"/>
        <v>0</v>
      </c>
      <c r="V18" s="297">
        <v>0</v>
      </c>
      <c r="W18" s="297">
        <f t="shared" si="2"/>
        <v>0</v>
      </c>
      <c r="Z18" s="429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81">
        <v>0</v>
      </c>
    </row>
    <row r="19" spans="1:38">
      <c r="A19" s="263"/>
      <c r="B19" s="263"/>
      <c r="C19" s="297">
        <v>0</v>
      </c>
      <c r="D19" s="294">
        <v>0</v>
      </c>
      <c r="E19" s="368">
        <v>0</v>
      </c>
      <c r="F19" s="298" t="s">
        <v>7</v>
      </c>
      <c r="G19" s="296"/>
      <c r="H19" s="297"/>
      <c r="I19" s="294"/>
      <c r="J19" s="294">
        <v>9000</v>
      </c>
      <c r="K19" s="294">
        <v>9000</v>
      </c>
      <c r="L19" s="294"/>
      <c r="M19" s="294"/>
      <c r="N19" s="294"/>
      <c r="O19" s="294">
        <v>3000</v>
      </c>
      <c r="P19" s="294">
        <v>3000</v>
      </c>
      <c r="Q19" s="294">
        <v>3000</v>
      </c>
      <c r="R19" s="294">
        <v>6000</v>
      </c>
      <c r="S19" s="294"/>
      <c r="T19" s="294"/>
      <c r="U19" s="294">
        <f t="shared" si="1"/>
        <v>33000</v>
      </c>
      <c r="V19" s="297">
        <v>0</v>
      </c>
      <c r="W19" s="297">
        <f t="shared" si="2"/>
        <v>33000</v>
      </c>
      <c r="Z19" s="429">
        <f t="shared" ref="Z19:Z26" si="3">+AL19/12</f>
        <v>3000</v>
      </c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81">
        <v>36000</v>
      </c>
    </row>
    <row r="20" spans="1:38">
      <c r="A20" s="263"/>
      <c r="B20" s="263"/>
      <c r="C20" s="297">
        <v>744158.53</v>
      </c>
      <c r="D20" s="294">
        <v>287449.43</v>
      </c>
      <c r="E20" s="368">
        <f>212048.27+11000</f>
        <v>223048.27</v>
      </c>
      <c r="F20" s="298" t="s">
        <v>8</v>
      </c>
      <c r="G20" s="296"/>
      <c r="H20" s="297">
        <f>8620.69+5517.24</f>
        <v>14137.93</v>
      </c>
      <c r="I20" s="294">
        <v>147200</v>
      </c>
      <c r="J20" s="294"/>
      <c r="K20" s="294"/>
      <c r="L20" s="294">
        <v>21728.9</v>
      </c>
      <c r="M20" s="294">
        <v>108620.69</v>
      </c>
      <c r="N20" s="294"/>
      <c r="O20" s="294"/>
      <c r="P20" s="294">
        <v>10344.83</v>
      </c>
      <c r="Q20" s="294">
        <v>62241.38</v>
      </c>
      <c r="R20" s="294"/>
      <c r="S20" s="294"/>
      <c r="T20" s="294"/>
      <c r="U20" s="294">
        <f t="shared" si="1"/>
        <v>364273.73000000004</v>
      </c>
      <c r="V20" s="297">
        <v>213772</v>
      </c>
      <c r="W20" s="297">
        <f t="shared" si="2"/>
        <v>150501.73000000004</v>
      </c>
      <c r="Z20" s="429">
        <f t="shared" si="3"/>
        <v>30356.144166666669</v>
      </c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81">
        <v>364273.73000000004</v>
      </c>
    </row>
    <row r="21" spans="1:38">
      <c r="A21" s="263"/>
      <c r="B21" s="263"/>
      <c r="C21" s="297">
        <v>1304.3499999999999</v>
      </c>
      <c r="D21" s="294">
        <v>0</v>
      </c>
      <c r="E21" s="368">
        <v>16240</v>
      </c>
      <c r="F21" s="298" t="s">
        <v>94</v>
      </c>
      <c r="G21" s="296"/>
      <c r="H21" s="297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>
        <f t="shared" si="1"/>
        <v>0</v>
      </c>
      <c r="V21" s="297">
        <v>16240</v>
      </c>
      <c r="W21" s="297">
        <f t="shared" si="2"/>
        <v>-16240</v>
      </c>
      <c r="Z21" s="429">
        <f t="shared" si="3"/>
        <v>0</v>
      </c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81">
        <v>0</v>
      </c>
    </row>
    <row r="22" spans="1:38">
      <c r="A22" s="263"/>
      <c r="B22" s="263"/>
      <c r="C22" s="297">
        <v>4500</v>
      </c>
      <c r="D22" s="294">
        <v>11517</v>
      </c>
      <c r="E22" s="368">
        <v>20846.059999999998</v>
      </c>
      <c r="F22" s="298" t="s">
        <v>10</v>
      </c>
      <c r="G22" s="296"/>
      <c r="H22" s="297"/>
      <c r="I22" s="294"/>
      <c r="J22" s="294"/>
      <c r="K22" s="294"/>
      <c r="L22" s="294"/>
      <c r="M22" s="294"/>
      <c r="N22" s="294"/>
      <c r="O22" s="294">
        <v>6896.55</v>
      </c>
      <c r="P22" s="294"/>
      <c r="Q22" s="294"/>
      <c r="R22" s="294"/>
      <c r="S22" s="294"/>
      <c r="T22" s="294"/>
      <c r="U22" s="294">
        <f t="shared" si="1"/>
        <v>6896.55</v>
      </c>
      <c r="V22" s="297">
        <v>24520</v>
      </c>
      <c r="W22" s="297">
        <f t="shared" si="2"/>
        <v>-17623.45</v>
      </c>
      <c r="Z22" s="429">
        <f t="shared" si="3"/>
        <v>574.71249999999998</v>
      </c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81">
        <v>6896.55</v>
      </c>
    </row>
    <row r="23" spans="1:38">
      <c r="A23" s="263"/>
      <c r="B23" s="263"/>
      <c r="C23" s="297">
        <v>0</v>
      </c>
      <c r="D23" s="294">
        <v>0</v>
      </c>
      <c r="E23" s="368">
        <v>0</v>
      </c>
      <c r="F23" s="298" t="s">
        <v>11</v>
      </c>
      <c r="G23" s="296"/>
      <c r="H23" s="297">
        <v>2450</v>
      </c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>
        <f t="shared" si="1"/>
        <v>2450</v>
      </c>
      <c r="V23" s="297">
        <v>0</v>
      </c>
      <c r="W23" s="297">
        <f t="shared" si="2"/>
        <v>2450</v>
      </c>
      <c r="Z23" s="429">
        <f t="shared" si="3"/>
        <v>204.16666666666666</v>
      </c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81">
        <v>2450</v>
      </c>
    </row>
    <row r="24" spans="1:38">
      <c r="A24" s="263"/>
      <c r="B24" s="263"/>
      <c r="C24" s="297">
        <v>0</v>
      </c>
      <c r="D24" s="294">
        <v>0</v>
      </c>
      <c r="E24" s="368">
        <v>0</v>
      </c>
      <c r="F24" s="298" t="s">
        <v>50</v>
      </c>
      <c r="G24" s="296"/>
      <c r="H24" s="297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>
        <f t="shared" si="1"/>
        <v>0</v>
      </c>
      <c r="V24" s="297">
        <v>0</v>
      </c>
      <c r="W24" s="297">
        <f t="shared" si="2"/>
        <v>0</v>
      </c>
      <c r="Z24" s="429">
        <f t="shared" si="3"/>
        <v>0</v>
      </c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81">
        <v>0</v>
      </c>
    </row>
    <row r="25" spans="1:38">
      <c r="A25" s="263"/>
      <c r="B25" s="263"/>
      <c r="C25" s="297">
        <v>23533.57</v>
      </c>
      <c r="D25" s="294">
        <v>25511.43</v>
      </c>
      <c r="E25" s="368">
        <v>1250</v>
      </c>
      <c r="F25" s="295" t="s">
        <v>299</v>
      </c>
      <c r="G25" s="296"/>
      <c r="H25" s="297"/>
      <c r="I25" s="294"/>
      <c r="J25" s="294"/>
      <c r="K25" s="294"/>
      <c r="L25" s="294">
        <v>5899.92</v>
      </c>
      <c r="M25" s="294"/>
      <c r="N25" s="294"/>
      <c r="O25" s="294"/>
      <c r="P25" s="294"/>
      <c r="Q25" s="294"/>
      <c r="R25" s="294"/>
      <c r="S25" s="294"/>
      <c r="T25" s="294"/>
      <c r="U25" s="294">
        <f t="shared" si="1"/>
        <v>5899.92</v>
      </c>
      <c r="V25" s="297">
        <v>0</v>
      </c>
      <c r="W25" s="297">
        <f t="shared" si="2"/>
        <v>5899.92</v>
      </c>
      <c r="Z25" s="429">
        <f t="shared" si="3"/>
        <v>491.66</v>
      </c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81">
        <v>5899.92</v>
      </c>
    </row>
    <row r="26" spans="1:38">
      <c r="A26" s="263"/>
      <c r="B26" s="263"/>
      <c r="C26" s="297"/>
      <c r="D26" s="294"/>
      <c r="E26" s="368"/>
      <c r="F26" s="295" t="s">
        <v>341</v>
      </c>
      <c r="G26" s="296"/>
      <c r="H26" s="297"/>
      <c r="I26" s="294"/>
      <c r="J26" s="294"/>
      <c r="K26" s="294"/>
      <c r="L26" s="294"/>
      <c r="M26" s="294">
        <f>142858+142858</f>
        <v>285716</v>
      </c>
      <c r="N26" s="294">
        <v>1042858</v>
      </c>
      <c r="O26" s="294">
        <v>142858</v>
      </c>
      <c r="P26" s="294">
        <v>142858</v>
      </c>
      <c r="Q26" s="294"/>
      <c r="R26" s="294">
        <v>142858</v>
      </c>
      <c r="S26" s="294">
        <v>142858</v>
      </c>
      <c r="T26" s="294"/>
      <c r="U26" s="294">
        <f t="shared" si="1"/>
        <v>1900006</v>
      </c>
      <c r="V26" s="297">
        <v>0</v>
      </c>
      <c r="W26" s="297">
        <f t="shared" si="2"/>
        <v>1900006</v>
      </c>
      <c r="Z26" s="429">
        <f t="shared" si="3"/>
        <v>0</v>
      </c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81">
        <v>0</v>
      </c>
    </row>
    <row r="27" spans="1:38">
      <c r="A27" s="263"/>
      <c r="B27" s="263"/>
      <c r="C27" s="297"/>
      <c r="D27" s="294"/>
      <c r="E27" s="368">
        <v>0</v>
      </c>
      <c r="F27" s="298"/>
      <c r="G27" s="296"/>
      <c r="H27" s="297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>
        <f t="shared" si="1"/>
        <v>0</v>
      </c>
      <c r="V27" s="297">
        <v>0</v>
      </c>
      <c r="W27" s="297">
        <f t="shared" si="2"/>
        <v>0</v>
      </c>
      <c r="Z27" s="429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81">
        <v>0</v>
      </c>
    </row>
    <row r="28" spans="1:38" ht="15">
      <c r="A28" s="263"/>
      <c r="B28" s="263"/>
      <c r="C28" s="297"/>
      <c r="D28" s="294"/>
      <c r="E28" s="368">
        <v>0</v>
      </c>
      <c r="F28" s="301" t="s">
        <v>89</v>
      </c>
      <c r="G28" s="296"/>
      <c r="H28" s="297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>
        <f t="shared" si="1"/>
        <v>0</v>
      </c>
      <c r="V28" s="297">
        <v>0</v>
      </c>
      <c r="W28" s="297">
        <f t="shared" si="2"/>
        <v>0</v>
      </c>
      <c r="Z28" s="429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81">
        <v>0</v>
      </c>
    </row>
    <row r="29" spans="1:38">
      <c r="A29" s="263"/>
      <c r="B29" s="263"/>
      <c r="C29" s="297">
        <v>4150000</v>
      </c>
      <c r="D29" s="294">
        <v>9130000</v>
      </c>
      <c r="E29" s="368">
        <v>1500000</v>
      </c>
      <c r="F29" s="302" t="s">
        <v>300</v>
      </c>
      <c r="G29" s="296"/>
      <c r="H29" s="294">
        <v>1000000</v>
      </c>
      <c r="I29" s="294"/>
      <c r="J29" s="294">
        <f>1000000+1000000</f>
        <v>2000000</v>
      </c>
      <c r="K29" s="294">
        <v>1000000</v>
      </c>
      <c r="L29" s="294">
        <v>1000000</v>
      </c>
      <c r="M29" s="294">
        <v>1000000</v>
      </c>
      <c r="N29" s="294"/>
      <c r="O29" s="294">
        <v>1000000</v>
      </c>
      <c r="P29" s="294">
        <v>1000000</v>
      </c>
      <c r="Q29" s="294"/>
      <c r="R29" s="294">
        <v>1000000</v>
      </c>
      <c r="S29" s="294">
        <v>2000000</v>
      </c>
      <c r="T29" s="294"/>
      <c r="U29" s="294">
        <f t="shared" si="1"/>
        <v>11000000</v>
      </c>
      <c r="V29" s="297">
        <v>6000000</v>
      </c>
      <c r="W29" s="297">
        <f t="shared" si="2"/>
        <v>5000000</v>
      </c>
      <c r="Z29" s="429">
        <f t="shared" ref="Z29:Z37" si="4">+AL29/12</f>
        <v>916666.66666666663</v>
      </c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81">
        <v>11000000</v>
      </c>
    </row>
    <row r="30" spans="1:38">
      <c r="A30" s="263"/>
      <c r="B30" s="263"/>
      <c r="C30" s="297"/>
      <c r="D30" s="294"/>
      <c r="E30" s="368"/>
      <c r="F30" s="302" t="s">
        <v>340</v>
      </c>
      <c r="G30" s="296"/>
      <c r="H30" s="294"/>
      <c r="I30" s="294"/>
      <c r="J30" s="294"/>
      <c r="K30" s="294"/>
      <c r="L30" s="294">
        <v>1500000</v>
      </c>
      <c r="M30" s="294"/>
      <c r="N30" s="294"/>
      <c r="O30" s="294"/>
      <c r="P30" s="294"/>
      <c r="Q30" s="294"/>
      <c r="R30" s="294"/>
      <c r="S30" s="294"/>
      <c r="T30" s="294"/>
      <c r="U30" s="294">
        <f t="shared" si="1"/>
        <v>1500000</v>
      </c>
      <c r="V30" s="297"/>
      <c r="W30" s="297"/>
      <c r="Z30" s="429">
        <f t="shared" si="4"/>
        <v>0</v>
      </c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81"/>
    </row>
    <row r="31" spans="1:38">
      <c r="A31" s="263"/>
      <c r="B31" s="263"/>
      <c r="C31" s="297">
        <v>125000</v>
      </c>
      <c r="D31" s="294">
        <v>1030660.76</v>
      </c>
      <c r="E31" s="368">
        <v>2750000</v>
      </c>
      <c r="F31" s="302" t="s">
        <v>301</v>
      </c>
      <c r="G31" s="296"/>
      <c r="H31" s="294"/>
      <c r="I31" s="294">
        <v>250000</v>
      </c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>
        <f t="shared" si="1"/>
        <v>250000</v>
      </c>
      <c r="V31" s="297">
        <v>1000000</v>
      </c>
      <c r="W31" s="297">
        <f t="shared" si="2"/>
        <v>-750000</v>
      </c>
      <c r="Z31" s="429">
        <f t="shared" si="4"/>
        <v>83333.333333333328</v>
      </c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81">
        <v>1000000</v>
      </c>
    </row>
    <row r="32" spans="1:38">
      <c r="A32" s="263"/>
      <c r="B32" s="263"/>
      <c r="C32" s="297">
        <v>1050000</v>
      </c>
      <c r="D32" s="294">
        <v>1000000</v>
      </c>
      <c r="E32" s="368">
        <v>1000000</v>
      </c>
      <c r="F32" s="295" t="s">
        <v>86</v>
      </c>
      <c r="G32" s="296"/>
      <c r="H32" s="294">
        <v>500000</v>
      </c>
      <c r="I32" s="294">
        <v>1000000</v>
      </c>
      <c r="J32" s="294">
        <v>400000</v>
      </c>
      <c r="K32" s="294"/>
      <c r="L32" s="294"/>
      <c r="M32" s="294">
        <f>400000+400000+400000</f>
        <v>1200000</v>
      </c>
      <c r="N32" s="294">
        <v>900000</v>
      </c>
      <c r="O32" s="294"/>
      <c r="P32" s="294"/>
      <c r="Q32" s="294"/>
      <c r="R32" s="294">
        <v>4000</v>
      </c>
      <c r="S32" s="294"/>
      <c r="T32" s="294"/>
      <c r="U32" s="294">
        <f t="shared" si="1"/>
        <v>4004000</v>
      </c>
      <c r="V32" s="297">
        <v>1000000</v>
      </c>
      <c r="W32" s="297">
        <f t="shared" si="2"/>
        <v>3004000</v>
      </c>
      <c r="Z32" s="429">
        <f t="shared" si="4"/>
        <v>83333.333333333328</v>
      </c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81">
        <v>1000000</v>
      </c>
    </row>
    <row r="33" spans="1:51">
      <c r="A33" s="263"/>
      <c r="B33" s="263"/>
      <c r="C33" s="297">
        <v>5000000</v>
      </c>
      <c r="D33" s="294">
        <v>8213794</v>
      </c>
      <c r="E33" s="368">
        <v>22500000</v>
      </c>
      <c r="F33" s="302" t="s">
        <v>302</v>
      </c>
      <c r="G33" s="296"/>
      <c r="H33" s="297">
        <v>1500000</v>
      </c>
      <c r="I33" s="294">
        <v>2500000</v>
      </c>
      <c r="J33" s="294"/>
      <c r="K33" s="294">
        <v>500000</v>
      </c>
      <c r="L33" s="294"/>
      <c r="M33" s="294"/>
      <c r="N33" s="294"/>
      <c r="O33" s="294"/>
      <c r="P33" s="294"/>
      <c r="Q33" s="294"/>
      <c r="R33" s="294"/>
      <c r="S33" s="294">
        <v>1000000</v>
      </c>
      <c r="T33" s="294"/>
      <c r="U33" s="294">
        <f t="shared" si="1"/>
        <v>5500000</v>
      </c>
      <c r="V33" s="297">
        <v>6000000</v>
      </c>
      <c r="W33" s="297">
        <f t="shared" si="2"/>
        <v>-500000</v>
      </c>
      <c r="Z33" s="429">
        <f t="shared" si="4"/>
        <v>500000</v>
      </c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81">
        <v>6000000</v>
      </c>
    </row>
    <row r="34" spans="1:51">
      <c r="A34" s="263"/>
      <c r="B34" s="263"/>
      <c r="C34" s="297"/>
      <c r="D34" s="294"/>
      <c r="E34" s="368">
        <v>0</v>
      </c>
      <c r="F34" s="302" t="s">
        <v>303</v>
      </c>
      <c r="G34" s="296"/>
      <c r="H34" s="297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>
        <f t="shared" si="1"/>
        <v>0</v>
      </c>
      <c r="V34" s="297">
        <v>0</v>
      </c>
      <c r="W34" s="297">
        <f t="shared" si="2"/>
        <v>0</v>
      </c>
      <c r="Z34" s="429">
        <f t="shared" si="4"/>
        <v>0</v>
      </c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81">
        <v>0</v>
      </c>
    </row>
    <row r="35" spans="1:51">
      <c r="A35" s="263"/>
      <c r="B35" s="263"/>
      <c r="C35" s="297">
        <v>800000</v>
      </c>
      <c r="D35" s="294">
        <v>0</v>
      </c>
      <c r="E35" s="368">
        <v>0</v>
      </c>
      <c r="F35" s="302" t="s">
        <v>304</v>
      </c>
      <c r="G35" s="296"/>
      <c r="H35" s="297"/>
      <c r="I35" s="294"/>
      <c r="J35" s="294"/>
      <c r="K35" s="294"/>
      <c r="L35" s="294"/>
      <c r="M35" s="294"/>
      <c r="N35" s="294"/>
      <c r="O35" s="294"/>
      <c r="P35" s="294"/>
      <c r="Q35" s="294"/>
      <c r="R35" s="294">
        <v>3000000</v>
      </c>
      <c r="S35" s="294"/>
      <c r="T35" s="294"/>
      <c r="U35" s="294">
        <f t="shared" si="1"/>
        <v>3000000</v>
      </c>
      <c r="V35" s="297">
        <v>0</v>
      </c>
      <c r="W35" s="297">
        <f t="shared" si="2"/>
        <v>3000000</v>
      </c>
      <c r="Z35" s="429">
        <f t="shared" si="4"/>
        <v>0</v>
      </c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81">
        <v>0</v>
      </c>
    </row>
    <row r="36" spans="1:51">
      <c r="A36" s="263"/>
      <c r="B36" s="263"/>
      <c r="C36" s="297">
        <v>50000</v>
      </c>
      <c r="D36" s="294">
        <v>25000</v>
      </c>
      <c r="E36" s="368">
        <v>0</v>
      </c>
      <c r="F36" s="295" t="s">
        <v>88</v>
      </c>
      <c r="G36" s="296"/>
      <c r="H36" s="297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>
        <f t="shared" si="1"/>
        <v>0</v>
      </c>
      <c r="V36" s="297">
        <v>0</v>
      </c>
      <c r="W36" s="297">
        <f t="shared" si="2"/>
        <v>0</v>
      </c>
      <c r="Z36" s="429">
        <f t="shared" si="4"/>
        <v>0</v>
      </c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81">
        <v>0</v>
      </c>
    </row>
    <row r="37" spans="1:51">
      <c r="A37" s="263"/>
      <c r="B37" s="263"/>
      <c r="C37" s="297">
        <f>472250+800</f>
        <v>473050</v>
      </c>
      <c r="D37" s="294">
        <v>46152.44</v>
      </c>
      <c r="E37" s="368">
        <v>1003875.08</v>
      </c>
      <c r="F37" s="295" t="s">
        <v>38</v>
      </c>
      <c r="G37" s="296"/>
      <c r="H37" s="297"/>
      <c r="I37" s="294"/>
      <c r="J37" s="294">
        <f>125000+350000+200000</f>
        <v>675000</v>
      </c>
      <c r="K37" s="294">
        <v>125000</v>
      </c>
      <c r="L37" s="294">
        <f>100000+5000+18000+125000+500000</f>
        <v>748000</v>
      </c>
      <c r="M37" s="294">
        <f>100000+35000+500000+200000+125000</f>
        <v>960000</v>
      </c>
      <c r="N37" s="294">
        <v>500000</v>
      </c>
      <c r="O37" s="294">
        <v>100000</v>
      </c>
      <c r="P37" s="294"/>
      <c r="Q37" s="294">
        <f>1000000+3500</f>
        <v>1003500</v>
      </c>
      <c r="R37" s="294"/>
      <c r="S37" s="294">
        <f>8000+1800+7500+85000</f>
        <v>102300</v>
      </c>
      <c r="T37" s="294"/>
      <c r="U37" s="294">
        <f t="shared" si="1"/>
        <v>4213800</v>
      </c>
      <c r="V37" s="297">
        <v>5000000</v>
      </c>
      <c r="W37" s="297">
        <f t="shared" si="2"/>
        <v>-786200</v>
      </c>
      <c r="Z37" s="429">
        <f t="shared" si="4"/>
        <v>416666.66666666669</v>
      </c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81">
        <v>5000000</v>
      </c>
    </row>
    <row r="38" spans="1:51" ht="15">
      <c r="A38" s="263"/>
      <c r="B38" s="263"/>
      <c r="C38" s="303">
        <f>SUM(C29:C37)</f>
        <v>11648050</v>
      </c>
      <c r="D38" s="303">
        <f>SUM(D29:D37)</f>
        <v>19445607.199999999</v>
      </c>
      <c r="E38" s="303">
        <f>SUM(E29:E37)</f>
        <v>28753875.079999998</v>
      </c>
      <c r="F38" s="301" t="s">
        <v>90</v>
      </c>
      <c r="G38" s="296"/>
      <c r="H38" s="303">
        <f>SUM(H29:H37)</f>
        <v>3000000</v>
      </c>
      <c r="I38" s="303">
        <f t="shared" ref="I38:V38" si="5">SUM(I29:I37)</f>
        <v>3750000</v>
      </c>
      <c r="J38" s="303">
        <f t="shared" si="5"/>
        <v>3075000</v>
      </c>
      <c r="K38" s="303">
        <f t="shared" si="5"/>
        <v>1625000</v>
      </c>
      <c r="L38" s="303">
        <f t="shared" si="5"/>
        <v>3248000</v>
      </c>
      <c r="M38" s="303">
        <f t="shared" si="5"/>
        <v>3160000</v>
      </c>
      <c r="N38" s="303">
        <f t="shared" si="5"/>
        <v>1400000</v>
      </c>
      <c r="O38" s="303">
        <f t="shared" si="5"/>
        <v>1100000</v>
      </c>
      <c r="P38" s="303">
        <f t="shared" si="5"/>
        <v>1000000</v>
      </c>
      <c r="Q38" s="303">
        <f t="shared" si="5"/>
        <v>1003500</v>
      </c>
      <c r="R38" s="303">
        <f t="shared" si="5"/>
        <v>4004000</v>
      </c>
      <c r="S38" s="303">
        <f t="shared" si="5"/>
        <v>3102300</v>
      </c>
      <c r="T38" s="303">
        <f t="shared" si="5"/>
        <v>0</v>
      </c>
      <c r="U38" s="303">
        <f t="shared" si="5"/>
        <v>29467800</v>
      </c>
      <c r="V38" s="303">
        <f t="shared" si="5"/>
        <v>19000000</v>
      </c>
      <c r="W38" s="303">
        <f t="shared" si="2"/>
        <v>10467800</v>
      </c>
      <c r="Z38" s="429"/>
      <c r="AA38" s="478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303">
        <f>SUM(AL29:AL37)</f>
        <v>24000000</v>
      </c>
    </row>
    <row r="39" spans="1:51">
      <c r="A39" s="263"/>
      <c r="B39" s="263"/>
      <c r="C39" s="304"/>
      <c r="D39" s="294"/>
      <c r="E39" s="368">
        <v>0</v>
      </c>
      <c r="F39" s="302"/>
      <c r="G39" s="305"/>
      <c r="H39" s="297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>
        <f>+S39</f>
        <v>0</v>
      </c>
      <c r="U39" s="294">
        <f>SUM(H39:S39)+T39</f>
        <v>0</v>
      </c>
      <c r="V39" s="304">
        <v>0</v>
      </c>
      <c r="W39" s="297">
        <f t="shared" si="2"/>
        <v>0</v>
      </c>
      <c r="Z39" s="429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81">
        <f t="shared" ref="AL39:AL41" si="6">SUM(Z39:AK39)</f>
        <v>0</v>
      </c>
    </row>
    <row r="40" spans="1:51">
      <c r="A40" s="263"/>
      <c r="B40" s="263"/>
      <c r="C40" s="304">
        <v>61315.78</v>
      </c>
      <c r="D40" s="294">
        <v>114491.25000000001</v>
      </c>
      <c r="E40" s="368">
        <v>67009.550000000017</v>
      </c>
      <c r="F40" s="302" t="s">
        <v>57</v>
      </c>
      <c r="G40" s="305"/>
      <c r="H40" s="297">
        <v>1577.13</v>
      </c>
      <c r="I40" s="294">
        <v>3909.89</v>
      </c>
      <c r="J40" s="294">
        <v>3129.88</v>
      </c>
      <c r="K40" s="294">
        <f>2165.17+1650.26</f>
        <v>3815.4300000000003</v>
      </c>
      <c r="L40" s="294">
        <f>413.79+6820.81</f>
        <v>7234.6</v>
      </c>
      <c r="M40" s="294">
        <f>1120.69+8805.68</f>
        <v>9926.3700000000008</v>
      </c>
      <c r="N40" s="294">
        <f>1807.8+1206.9+12789.13</f>
        <v>15803.829999999998</v>
      </c>
      <c r="O40" s="294">
        <f>2314.65+15626.98</f>
        <v>17941.63</v>
      </c>
      <c r="P40" s="294">
        <v>11013.98</v>
      </c>
      <c r="Q40" s="294">
        <f>2275.86+10253.06</f>
        <v>12528.92</v>
      </c>
      <c r="R40" s="294">
        <f>245.69+4990.12</f>
        <v>5235.8099999999995</v>
      </c>
      <c r="S40" s="294">
        <f>1010+2131.42</f>
        <v>3141.42</v>
      </c>
      <c r="T40" s="294"/>
      <c r="U40" s="294">
        <f>SUM(H40:S40)</f>
        <v>95258.89</v>
      </c>
      <c r="V40" s="304">
        <v>0</v>
      </c>
      <c r="W40" s="297">
        <f t="shared" si="2"/>
        <v>95258.89</v>
      </c>
      <c r="Z40" s="429">
        <f>+AL40/12</f>
        <v>7960.75</v>
      </c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81">
        <v>95529</v>
      </c>
    </row>
    <row r="41" spans="1:51">
      <c r="A41" s="263"/>
      <c r="B41" s="263"/>
      <c r="C41" s="304"/>
      <c r="D41" s="294"/>
      <c r="E41" s="368">
        <v>10000</v>
      </c>
      <c r="F41" s="302" t="s">
        <v>316</v>
      </c>
      <c r="G41" s="305"/>
      <c r="H41" s="297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>
        <f>SUM(H41:S41)+T41</f>
        <v>0</v>
      </c>
      <c r="V41" s="304">
        <v>0</v>
      </c>
      <c r="W41" s="297">
        <f t="shared" si="2"/>
        <v>0</v>
      </c>
      <c r="Z41" s="429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81">
        <f t="shared" si="6"/>
        <v>0</v>
      </c>
    </row>
    <row r="42" spans="1:51" ht="15">
      <c r="A42" s="263"/>
      <c r="B42" s="263"/>
      <c r="C42" s="311">
        <v>13277748.549999999</v>
      </c>
      <c r="D42" s="311">
        <f>SUM(D13:D37)+SUM(D39:D41)</f>
        <v>20347125.290000003</v>
      </c>
      <c r="E42" s="311">
        <f>SUM(E13:E37)+SUM(E39:E41)</f>
        <v>29619461.949999999</v>
      </c>
      <c r="F42" s="312" t="s">
        <v>135</v>
      </c>
      <c r="G42" s="313"/>
      <c r="H42" s="311">
        <f t="shared" ref="H42:W42" si="7">SUM(H13:H37)+SUM(H39:H41)</f>
        <v>3164355.26</v>
      </c>
      <c r="I42" s="311">
        <f t="shared" si="7"/>
        <v>3977970.31</v>
      </c>
      <c r="J42" s="311">
        <f t="shared" si="7"/>
        <v>3138330.9299999997</v>
      </c>
      <c r="K42" s="311">
        <f t="shared" si="7"/>
        <v>1670693.44</v>
      </c>
      <c r="L42" s="311">
        <f t="shared" si="7"/>
        <v>3319989.73</v>
      </c>
      <c r="M42" s="311">
        <f t="shared" si="7"/>
        <v>3597318.27</v>
      </c>
      <c r="N42" s="311">
        <f t="shared" si="7"/>
        <v>2517588.9000000004</v>
      </c>
      <c r="O42" s="311">
        <f t="shared" si="7"/>
        <v>1292812.5</v>
      </c>
      <c r="P42" s="311">
        <f t="shared" si="7"/>
        <v>1188433.22</v>
      </c>
      <c r="Q42" s="311">
        <f t="shared" si="7"/>
        <v>1136111.67</v>
      </c>
      <c r="R42" s="311">
        <f t="shared" si="7"/>
        <v>4178536.57</v>
      </c>
      <c r="S42" s="311">
        <f t="shared" si="7"/>
        <v>3264252.98</v>
      </c>
      <c r="T42" s="311">
        <f t="shared" si="7"/>
        <v>0</v>
      </c>
      <c r="U42" s="311">
        <f t="shared" si="7"/>
        <v>32446393.780000001</v>
      </c>
      <c r="V42" s="311">
        <f t="shared" si="7"/>
        <v>19673989</v>
      </c>
      <c r="W42" s="311">
        <f t="shared" si="7"/>
        <v>11272404.780000001</v>
      </c>
      <c r="Z42" s="311">
        <f t="shared" ref="Z42:AL42" si="8">SUM(Z13:Z37)+SUM(Z39:Z41)</f>
        <v>2090154.8241666667</v>
      </c>
      <c r="AA42" s="311">
        <f t="shared" si="8"/>
        <v>0</v>
      </c>
      <c r="AB42" s="311">
        <f t="shared" si="8"/>
        <v>0</v>
      </c>
      <c r="AC42" s="311">
        <f t="shared" si="8"/>
        <v>0</v>
      </c>
      <c r="AD42" s="311">
        <f t="shared" si="8"/>
        <v>0</v>
      </c>
      <c r="AE42" s="311">
        <f t="shared" si="8"/>
        <v>0</v>
      </c>
      <c r="AF42" s="311">
        <f t="shared" si="8"/>
        <v>0</v>
      </c>
      <c r="AG42" s="311">
        <f t="shared" si="8"/>
        <v>0</v>
      </c>
      <c r="AH42" s="311">
        <f t="shared" si="8"/>
        <v>0</v>
      </c>
      <c r="AI42" s="311">
        <f t="shared" si="8"/>
        <v>0</v>
      </c>
      <c r="AJ42" s="311">
        <f t="shared" si="8"/>
        <v>0</v>
      </c>
      <c r="AK42" s="311">
        <f t="shared" si="8"/>
        <v>0</v>
      </c>
      <c r="AL42" s="311">
        <f t="shared" si="8"/>
        <v>25081857.890000001</v>
      </c>
    </row>
    <row r="43" spans="1:51" ht="15">
      <c r="A43" s="263"/>
      <c r="B43" s="263"/>
      <c r="C43" s="314"/>
      <c r="D43" s="314"/>
      <c r="E43" s="314"/>
      <c r="F43" s="263"/>
      <c r="G43" s="263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5"/>
    </row>
    <row r="44" spans="1:51" ht="18">
      <c r="A44" s="263"/>
      <c r="B44" s="263"/>
      <c r="C44" s="265"/>
      <c r="D44" s="316"/>
      <c r="E44" s="316"/>
      <c r="F44" s="317" t="s">
        <v>96</v>
      </c>
      <c r="G44" s="263"/>
      <c r="H44" s="265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W44" s="318"/>
    </row>
    <row r="45" spans="1:51" ht="15">
      <c r="A45" s="263"/>
      <c r="B45" s="263"/>
      <c r="C45" s="319"/>
      <c r="D45" s="320"/>
      <c r="E45" s="446"/>
      <c r="F45" s="321" t="s">
        <v>15</v>
      </c>
      <c r="G45" s="322"/>
      <c r="H45" s="323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19"/>
      <c r="W45" s="324"/>
      <c r="Z45" s="435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</row>
    <row r="46" spans="1:51">
      <c r="A46" s="263"/>
      <c r="B46" s="263"/>
      <c r="C46" s="304">
        <v>503355.94</v>
      </c>
      <c r="D46" s="325">
        <v>535456.20000000007</v>
      </c>
      <c r="E46" s="447">
        <f>543113.26+23613.62</f>
        <v>566726.88</v>
      </c>
      <c r="F46" s="326" t="s">
        <v>16</v>
      </c>
      <c r="G46" s="327"/>
      <c r="H46" s="328">
        <v>49116.42</v>
      </c>
      <c r="I46" s="325">
        <v>49116.42</v>
      </c>
      <c r="J46" s="325">
        <v>49116.42</v>
      </c>
      <c r="K46" s="325">
        <v>49116.42</v>
      </c>
      <c r="L46" s="325">
        <v>49116.42</v>
      </c>
      <c r="M46" s="325">
        <v>49116.42</v>
      </c>
      <c r="N46" s="325">
        <v>49116.42</v>
      </c>
      <c r="O46" s="325">
        <v>49116</v>
      </c>
      <c r="P46" s="325">
        <v>49116.42</v>
      </c>
      <c r="Q46" s="325">
        <v>49116.42</v>
      </c>
      <c r="R46" s="325">
        <v>49116.42</v>
      </c>
      <c r="S46" s="325">
        <v>49116.42</v>
      </c>
      <c r="T46" s="325"/>
      <c r="U46" s="294">
        <f t="shared" ref="U46:U61" si="9">SUM(H46:S46)+T46</f>
        <v>589396.62</v>
      </c>
      <c r="V46" s="304">
        <v>589152</v>
      </c>
      <c r="W46" s="297">
        <f t="shared" ref="W46:W61" si="10">+U46-V46</f>
        <v>244.61999999999534</v>
      </c>
      <c r="Z46" s="429">
        <f>25786.13*2</f>
        <v>51572.26</v>
      </c>
      <c r="AA46" s="429">
        <f t="shared" ref="AA46:AK46" si="11">25786.13*2</f>
        <v>51572.26</v>
      </c>
      <c r="AB46" s="429">
        <f t="shared" si="11"/>
        <v>51572.26</v>
      </c>
      <c r="AC46" s="429">
        <f t="shared" si="11"/>
        <v>51572.26</v>
      </c>
      <c r="AD46" s="429">
        <f t="shared" si="11"/>
        <v>51572.26</v>
      </c>
      <c r="AE46" s="429">
        <f t="shared" si="11"/>
        <v>51572.26</v>
      </c>
      <c r="AF46" s="429">
        <f t="shared" si="11"/>
        <v>51572.26</v>
      </c>
      <c r="AG46" s="429">
        <f t="shared" si="11"/>
        <v>51572.26</v>
      </c>
      <c r="AH46" s="429">
        <f t="shared" si="11"/>
        <v>51572.26</v>
      </c>
      <c r="AI46" s="429">
        <f t="shared" si="11"/>
        <v>51572.26</v>
      </c>
      <c r="AJ46" s="429">
        <f t="shared" si="11"/>
        <v>51572.26</v>
      </c>
      <c r="AK46" s="429">
        <f t="shared" si="11"/>
        <v>51572.26</v>
      </c>
      <c r="AL46" s="481">
        <f>SUM(Z46:AK46)</f>
        <v>618867.12</v>
      </c>
      <c r="AN46" s="485">
        <f>25786.13*2</f>
        <v>51572.26</v>
      </c>
      <c r="AO46" s="485">
        <f t="shared" ref="AO46:AY46" si="12">25786.13*2</f>
        <v>51572.26</v>
      </c>
      <c r="AP46" s="485">
        <f t="shared" si="12"/>
        <v>51572.26</v>
      </c>
      <c r="AQ46" s="485">
        <f t="shared" si="12"/>
        <v>51572.26</v>
      </c>
      <c r="AR46" s="485">
        <f t="shared" si="12"/>
        <v>51572.26</v>
      </c>
      <c r="AS46" s="485">
        <f t="shared" si="12"/>
        <v>51572.26</v>
      </c>
      <c r="AT46" s="485">
        <f t="shared" si="12"/>
        <v>51572.26</v>
      </c>
      <c r="AU46" s="485">
        <f t="shared" si="12"/>
        <v>51572.26</v>
      </c>
      <c r="AV46" s="485">
        <f t="shared" si="12"/>
        <v>51572.26</v>
      </c>
      <c r="AW46" s="485">
        <f t="shared" si="12"/>
        <v>51572.26</v>
      </c>
      <c r="AX46" s="485">
        <f t="shared" si="12"/>
        <v>51572.26</v>
      </c>
      <c r="AY46" s="485">
        <f t="shared" si="12"/>
        <v>51572.26</v>
      </c>
    </row>
    <row r="47" spans="1:51">
      <c r="A47" s="263"/>
      <c r="B47" s="263"/>
      <c r="C47" s="304">
        <v>0</v>
      </c>
      <c r="D47" s="325">
        <v>0</v>
      </c>
      <c r="E47" s="447"/>
      <c r="F47" s="326" t="s">
        <v>19</v>
      </c>
      <c r="G47" s="327"/>
      <c r="H47" s="328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294">
        <f t="shared" si="9"/>
        <v>0</v>
      </c>
      <c r="V47" s="304">
        <v>22911</v>
      </c>
      <c r="W47" s="297">
        <f t="shared" si="10"/>
        <v>-22911</v>
      </c>
      <c r="Z47" s="429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29">
        <v>23737.42</v>
      </c>
      <c r="AL47" s="481">
        <f>SUM(Z47:AK47)</f>
        <v>23737.42</v>
      </c>
    </row>
    <row r="48" spans="1:51">
      <c r="A48" s="263"/>
      <c r="B48" s="263"/>
      <c r="C48" s="304">
        <v>42249.79</v>
      </c>
      <c r="D48" s="325">
        <v>44362.28</v>
      </c>
      <c r="E48" s="447">
        <v>46580.4</v>
      </c>
      <c r="F48" s="326" t="s">
        <v>20</v>
      </c>
      <c r="G48" s="327"/>
      <c r="H48" s="328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294">
        <v>48443.7</v>
      </c>
      <c r="T48" s="325"/>
      <c r="U48" s="294">
        <f t="shared" si="9"/>
        <v>48443.7</v>
      </c>
      <c r="V48" s="304">
        <v>49096</v>
      </c>
      <c r="W48" s="297">
        <f t="shared" si="10"/>
        <v>-652.30000000000291</v>
      </c>
      <c r="Z48" s="429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78">
        <f>+AK46</f>
        <v>51572.26</v>
      </c>
      <c r="AL48" s="481">
        <f t="shared" ref="AL48:AL61" si="13">SUM(Z48:AK48)</f>
        <v>51572.26</v>
      </c>
    </row>
    <row r="49" spans="1:51">
      <c r="A49" s="263"/>
      <c r="B49" s="263"/>
      <c r="C49" s="304">
        <v>0</v>
      </c>
      <c r="D49" s="325">
        <v>0</v>
      </c>
      <c r="E49" s="447"/>
      <c r="F49" s="326" t="s">
        <v>51</v>
      </c>
      <c r="G49" s="327"/>
      <c r="H49" s="328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294">
        <f t="shared" si="9"/>
        <v>0</v>
      </c>
      <c r="V49" s="304">
        <v>0</v>
      </c>
      <c r="W49" s="297">
        <f t="shared" si="10"/>
        <v>0</v>
      </c>
      <c r="Z49" s="429">
        <f t="shared" ref="Z49:AK50" si="14">+H49+AN49</f>
        <v>0</v>
      </c>
      <c r="AA49" s="429">
        <f t="shared" si="14"/>
        <v>0</v>
      </c>
      <c r="AB49" s="429">
        <f t="shared" si="14"/>
        <v>0</v>
      </c>
      <c r="AC49" s="429">
        <f t="shared" si="14"/>
        <v>0</v>
      </c>
      <c r="AD49" s="429">
        <f t="shared" si="14"/>
        <v>0</v>
      </c>
      <c r="AE49" s="429">
        <f t="shared" si="14"/>
        <v>0</v>
      </c>
      <c r="AF49" s="429">
        <f t="shared" si="14"/>
        <v>0</v>
      </c>
      <c r="AG49" s="429">
        <f t="shared" si="14"/>
        <v>0</v>
      </c>
      <c r="AH49" s="429">
        <f t="shared" si="14"/>
        <v>0</v>
      </c>
      <c r="AI49" s="429">
        <f t="shared" si="14"/>
        <v>0</v>
      </c>
      <c r="AJ49" s="429">
        <f t="shared" si="14"/>
        <v>0</v>
      </c>
      <c r="AK49" s="429">
        <f t="shared" si="14"/>
        <v>0</v>
      </c>
      <c r="AL49" s="481">
        <f t="shared" si="13"/>
        <v>0</v>
      </c>
      <c r="AN49" s="46">
        <f>+H49*0.05</f>
        <v>0</v>
      </c>
      <c r="AO49" s="46">
        <f t="shared" ref="AO49" si="15">+I49*0.05</f>
        <v>0</v>
      </c>
      <c r="AP49" s="46">
        <f t="shared" ref="AP49" si="16">+J49*0.05</f>
        <v>0</v>
      </c>
      <c r="AQ49" s="46">
        <f t="shared" ref="AQ49" si="17">+K49*0.05</f>
        <v>0</v>
      </c>
      <c r="AR49" s="46">
        <f t="shared" ref="AR49" si="18">+L49*0.05</f>
        <v>0</v>
      </c>
      <c r="AS49" s="46">
        <f t="shared" ref="AS49" si="19">+M49*0.05</f>
        <v>0</v>
      </c>
      <c r="AT49" s="46">
        <f t="shared" ref="AT49" si="20">+N49*0.05</f>
        <v>0</v>
      </c>
      <c r="AU49" s="46">
        <f t="shared" ref="AU49" si="21">+O49*0.05</f>
        <v>0</v>
      </c>
      <c r="AV49" s="46">
        <f t="shared" ref="AV49" si="22">+P49*0.05</f>
        <v>0</v>
      </c>
      <c r="AW49" s="46">
        <f t="shared" ref="AW49" si="23">+Q49*0.05</f>
        <v>0</v>
      </c>
      <c r="AX49" s="46">
        <f t="shared" ref="AX49" si="24">+R49*0.05</f>
        <v>0</v>
      </c>
      <c r="AY49" s="46">
        <f t="shared" ref="AY49" si="25">+S49*0.05</f>
        <v>0</v>
      </c>
    </row>
    <row r="50" spans="1:51">
      <c r="A50" s="263"/>
      <c r="B50" s="263"/>
      <c r="C50" s="304">
        <v>83143.359999999986</v>
      </c>
      <c r="D50" s="325">
        <v>87208.8</v>
      </c>
      <c r="E50" s="447">
        <f>29383.72+32090+25569.73</f>
        <v>87043.45</v>
      </c>
      <c r="F50" s="326" t="s">
        <v>17</v>
      </c>
      <c r="G50" s="327"/>
      <c r="H50" s="328">
        <f>2181.3+5318.29+4237.68</f>
        <v>11737.27</v>
      </c>
      <c r="I50" s="294">
        <v>3575.88</v>
      </c>
      <c r="J50" s="294">
        <f>2181.3+5318.29+4237.68</f>
        <v>11737.27</v>
      </c>
      <c r="K50" s="294">
        <v>3575.68</v>
      </c>
      <c r="L50" s="294">
        <f>2181.3+5318.29+4237.68</f>
        <v>11737.27</v>
      </c>
      <c r="M50" s="294">
        <v>3575.68</v>
      </c>
      <c r="N50" s="294">
        <f>2181.3+5318.29+4237.68</f>
        <v>11737.27</v>
      </c>
      <c r="O50" s="294">
        <v>7151.36</v>
      </c>
      <c r="P50" s="294">
        <f>2181.3+5318.29+4273.68</f>
        <v>11773.27</v>
      </c>
      <c r="Q50" s="294">
        <v>2181.3000000000002</v>
      </c>
      <c r="R50" s="294">
        <f>2181.3+5318.29+4273.68</f>
        <v>11773.27</v>
      </c>
      <c r="S50" s="294">
        <v>2181.3000000000002</v>
      </c>
      <c r="T50" s="325"/>
      <c r="U50" s="294">
        <f t="shared" si="9"/>
        <v>92736.820000000022</v>
      </c>
      <c r="V50" s="304">
        <v>92081</v>
      </c>
      <c r="W50" s="297">
        <f t="shared" si="10"/>
        <v>655.82000000002154</v>
      </c>
      <c r="Z50" s="429">
        <f t="shared" si="14"/>
        <v>12324.1335</v>
      </c>
      <c r="AA50" s="429">
        <f t="shared" si="14"/>
        <v>3754.674</v>
      </c>
      <c r="AB50" s="429">
        <f t="shared" si="14"/>
        <v>12324.1335</v>
      </c>
      <c r="AC50" s="429">
        <f t="shared" si="14"/>
        <v>3754.4639999999999</v>
      </c>
      <c r="AD50" s="429">
        <f t="shared" si="14"/>
        <v>12324.1335</v>
      </c>
      <c r="AE50" s="429">
        <f t="shared" si="14"/>
        <v>3754.4639999999999</v>
      </c>
      <c r="AF50" s="429">
        <f t="shared" si="14"/>
        <v>12324.1335</v>
      </c>
      <c r="AG50" s="429">
        <f t="shared" si="14"/>
        <v>7508.9279999999999</v>
      </c>
      <c r="AH50" s="429">
        <f t="shared" si="14"/>
        <v>12361.933500000001</v>
      </c>
      <c r="AI50" s="429">
        <f t="shared" si="14"/>
        <v>2290.3650000000002</v>
      </c>
      <c r="AJ50" s="429">
        <f t="shared" si="14"/>
        <v>12361.933500000001</v>
      </c>
      <c r="AK50" s="429">
        <f t="shared" si="14"/>
        <v>2290.3650000000002</v>
      </c>
      <c r="AL50" s="481">
        <f t="shared" si="13"/>
        <v>97373.661000000007</v>
      </c>
      <c r="AN50" s="46">
        <f t="shared" ref="AN50:AN61" si="26">+H50*0.05</f>
        <v>586.86350000000004</v>
      </c>
      <c r="AO50" s="46">
        <f t="shared" ref="AO50:AO61" si="27">+I50*0.05</f>
        <v>178.79400000000001</v>
      </c>
      <c r="AP50" s="46">
        <f t="shared" ref="AP50:AP61" si="28">+J50*0.05</f>
        <v>586.86350000000004</v>
      </c>
      <c r="AQ50" s="46">
        <f t="shared" ref="AQ50:AQ61" si="29">+K50*0.05</f>
        <v>178.78399999999999</v>
      </c>
      <c r="AR50" s="46">
        <f t="shared" ref="AR50:AR61" si="30">+L50*0.05</f>
        <v>586.86350000000004</v>
      </c>
      <c r="AS50" s="46">
        <f t="shared" ref="AS50:AS61" si="31">+M50*0.05</f>
        <v>178.78399999999999</v>
      </c>
      <c r="AT50" s="46">
        <f t="shared" ref="AT50:AT61" si="32">+N50*0.05</f>
        <v>586.86350000000004</v>
      </c>
      <c r="AU50" s="46">
        <f t="shared" ref="AU50:AU61" si="33">+O50*0.05</f>
        <v>357.56799999999998</v>
      </c>
      <c r="AV50" s="46">
        <f t="shared" ref="AV50:AV61" si="34">+P50*0.05</f>
        <v>588.6635</v>
      </c>
      <c r="AW50" s="46">
        <f t="shared" ref="AW50:AW61" si="35">+Q50*0.05</f>
        <v>109.06500000000001</v>
      </c>
      <c r="AX50" s="46">
        <f t="shared" ref="AX50:AX61" si="36">+R50*0.05</f>
        <v>588.6635</v>
      </c>
      <c r="AY50" s="46">
        <f t="shared" ref="AY50:AY61" si="37">+S50*0.05</f>
        <v>109.06500000000001</v>
      </c>
    </row>
    <row r="51" spans="1:51">
      <c r="A51" s="263"/>
      <c r="B51" s="263"/>
      <c r="C51" s="304">
        <v>15000</v>
      </c>
      <c r="D51" s="325">
        <v>2000</v>
      </c>
      <c r="E51" s="447"/>
      <c r="F51" s="326" t="s">
        <v>53</v>
      </c>
      <c r="G51" s="327"/>
      <c r="H51" s="328"/>
      <c r="I51" s="294"/>
      <c r="J51" s="294"/>
      <c r="K51" s="294"/>
      <c r="L51" s="294"/>
      <c r="M51" s="294">
        <v>59910.62</v>
      </c>
      <c r="N51" s="294"/>
      <c r="O51" s="294"/>
      <c r="P51" s="294">
        <v>134492.66</v>
      </c>
      <c r="Q51" s="294"/>
      <c r="R51" s="294"/>
      <c r="S51" s="294"/>
      <c r="T51" s="325"/>
      <c r="U51" s="294">
        <f t="shared" si="9"/>
        <v>194403.28</v>
      </c>
      <c r="V51" s="304">
        <v>0</v>
      </c>
      <c r="W51" s="297">
        <f t="shared" si="10"/>
        <v>194403.28</v>
      </c>
      <c r="Z51" s="429"/>
      <c r="AA51" s="429"/>
      <c r="AB51" s="429"/>
      <c r="AC51" s="429"/>
      <c r="AD51" s="429"/>
      <c r="AE51" s="429"/>
      <c r="AF51" s="429"/>
      <c r="AG51" s="429"/>
      <c r="AH51" s="429"/>
      <c r="AI51" s="429"/>
      <c r="AJ51" s="429"/>
      <c r="AK51" s="429"/>
      <c r="AL51" s="481">
        <f t="shared" si="13"/>
        <v>0</v>
      </c>
      <c r="AN51" s="46">
        <f t="shared" si="26"/>
        <v>0</v>
      </c>
      <c r="AO51" s="46">
        <f t="shared" si="27"/>
        <v>0</v>
      </c>
      <c r="AP51" s="46">
        <f t="shared" si="28"/>
        <v>0</v>
      </c>
      <c r="AQ51" s="46">
        <f t="shared" si="29"/>
        <v>0</v>
      </c>
      <c r="AR51" s="46">
        <f t="shared" si="30"/>
        <v>0</v>
      </c>
      <c r="AS51" s="46">
        <f t="shared" si="31"/>
        <v>2995.5310000000004</v>
      </c>
      <c r="AT51" s="46">
        <f t="shared" si="32"/>
        <v>0</v>
      </c>
      <c r="AU51" s="46">
        <f t="shared" si="33"/>
        <v>0</v>
      </c>
      <c r="AV51" s="46">
        <f t="shared" si="34"/>
        <v>6724.6330000000007</v>
      </c>
      <c r="AW51" s="46">
        <f t="shared" si="35"/>
        <v>0</v>
      </c>
      <c r="AX51" s="46">
        <f t="shared" si="36"/>
        <v>0</v>
      </c>
      <c r="AY51" s="46">
        <f t="shared" si="37"/>
        <v>0</v>
      </c>
    </row>
    <row r="52" spans="1:51">
      <c r="A52" s="263"/>
      <c r="B52" s="263"/>
      <c r="C52" s="304">
        <v>5155.3099999999995</v>
      </c>
      <c r="D52" s="325">
        <v>5536.02</v>
      </c>
      <c r="E52" s="447">
        <v>4953.45</v>
      </c>
      <c r="F52" s="326" t="s">
        <v>22</v>
      </c>
      <c r="G52" s="327"/>
      <c r="H52" s="328"/>
      <c r="I52" s="294">
        <v>363.38</v>
      </c>
      <c r="J52" s="294">
        <v>363.22</v>
      </c>
      <c r="K52" s="294">
        <v>367.64</v>
      </c>
      <c r="L52" s="294">
        <v>362.38</v>
      </c>
      <c r="M52" s="294">
        <v>365.05</v>
      </c>
      <c r="N52" s="294"/>
      <c r="O52" s="294">
        <v>718.97</v>
      </c>
      <c r="P52" s="294">
        <v>534.79999999999995</v>
      </c>
      <c r="Q52" s="294"/>
      <c r="R52" s="294">
        <v>362.38</v>
      </c>
      <c r="S52" s="294">
        <v>725.76</v>
      </c>
      <c r="T52" s="325"/>
      <c r="U52" s="294">
        <f t="shared" si="9"/>
        <v>4163.58</v>
      </c>
      <c r="V52" s="304">
        <v>4856</v>
      </c>
      <c r="W52" s="297">
        <f t="shared" si="10"/>
        <v>-692.42000000000007</v>
      </c>
      <c r="Z52" s="429">
        <f t="shared" ref="Z52:Z61" si="38">+H52+AN52</f>
        <v>0</v>
      </c>
      <c r="AA52" s="429">
        <f t="shared" ref="AA52:AA61" si="39">+I52+AO52</f>
        <v>381.54899999999998</v>
      </c>
      <c r="AB52" s="429">
        <f t="shared" ref="AB52:AB61" si="40">+J52+AP52</f>
        <v>381.38100000000003</v>
      </c>
      <c r="AC52" s="429">
        <f t="shared" ref="AC52:AC61" si="41">+K52+AQ52</f>
        <v>386.02199999999999</v>
      </c>
      <c r="AD52" s="429">
        <f t="shared" ref="AD52:AD61" si="42">+L52+AR52</f>
        <v>380.49900000000002</v>
      </c>
      <c r="AE52" s="429">
        <f t="shared" ref="AE52:AE61" si="43">+M52+AS52</f>
        <v>383.30250000000001</v>
      </c>
      <c r="AF52" s="429">
        <f t="shared" ref="AF52:AF61" si="44">+N52+AT52</f>
        <v>0</v>
      </c>
      <c r="AG52" s="429">
        <f t="shared" ref="AG52:AG61" si="45">+O52+AU52</f>
        <v>754.91849999999999</v>
      </c>
      <c r="AH52" s="429">
        <f t="shared" ref="AH52:AH61" si="46">+P52+AV52</f>
        <v>561.54</v>
      </c>
      <c r="AI52" s="429">
        <f t="shared" ref="AI52:AI61" si="47">+Q52+AW52</f>
        <v>0</v>
      </c>
      <c r="AJ52" s="429">
        <f t="shared" ref="AJ52:AJ61" si="48">+R52+AX52</f>
        <v>380.49900000000002</v>
      </c>
      <c r="AK52" s="429">
        <f t="shared" ref="AK52:AK61" si="49">+S52+AY52</f>
        <v>762.048</v>
      </c>
      <c r="AL52" s="481">
        <f t="shared" si="13"/>
        <v>4371.759</v>
      </c>
      <c r="AN52" s="46">
        <f t="shared" si="26"/>
        <v>0</v>
      </c>
      <c r="AO52" s="46">
        <f t="shared" si="27"/>
        <v>18.169</v>
      </c>
      <c r="AP52" s="46">
        <f t="shared" si="28"/>
        <v>18.161000000000001</v>
      </c>
      <c r="AQ52" s="46">
        <f t="shared" si="29"/>
        <v>18.382000000000001</v>
      </c>
      <c r="AR52" s="46">
        <f t="shared" si="30"/>
        <v>18.119</v>
      </c>
      <c r="AS52" s="46">
        <f t="shared" si="31"/>
        <v>18.252500000000001</v>
      </c>
      <c r="AT52" s="46">
        <f t="shared" si="32"/>
        <v>0</v>
      </c>
      <c r="AU52" s="46">
        <f t="shared" si="33"/>
        <v>35.948500000000003</v>
      </c>
      <c r="AV52" s="46">
        <f t="shared" si="34"/>
        <v>26.74</v>
      </c>
      <c r="AW52" s="46">
        <f t="shared" si="35"/>
        <v>0</v>
      </c>
      <c r="AX52" s="46">
        <f t="shared" si="36"/>
        <v>18.119</v>
      </c>
      <c r="AY52" s="46">
        <f t="shared" si="37"/>
        <v>36.288000000000004</v>
      </c>
    </row>
    <row r="53" spans="1:51">
      <c r="A53" s="263"/>
      <c r="B53" s="263"/>
      <c r="C53" s="304">
        <v>3930</v>
      </c>
      <c r="D53" s="325">
        <v>1772.7</v>
      </c>
      <c r="E53" s="447">
        <v>2470.87</v>
      </c>
      <c r="F53" s="326" t="s">
        <v>73</v>
      </c>
      <c r="G53" s="327"/>
      <c r="H53" s="328"/>
      <c r="I53" s="294"/>
      <c r="J53" s="294"/>
      <c r="K53" s="294">
        <v>3357</v>
      </c>
      <c r="L53" s="294">
        <v>2680</v>
      </c>
      <c r="M53" s="294">
        <v>5393</v>
      </c>
      <c r="N53" s="294">
        <v>1745.46</v>
      </c>
      <c r="O53" s="294"/>
      <c r="P53" s="294">
        <v>126</v>
      </c>
      <c r="Q53" s="294"/>
      <c r="R53" s="294"/>
      <c r="S53" s="294">
        <v>27798</v>
      </c>
      <c r="T53" s="325"/>
      <c r="U53" s="294">
        <f t="shared" si="9"/>
        <v>41099.46</v>
      </c>
      <c r="V53" s="304">
        <v>616</v>
      </c>
      <c r="W53" s="297">
        <f t="shared" si="10"/>
        <v>40483.46</v>
      </c>
      <c r="Z53" s="429">
        <f t="shared" si="38"/>
        <v>0</v>
      </c>
      <c r="AA53" s="429">
        <f t="shared" si="39"/>
        <v>0</v>
      </c>
      <c r="AB53" s="429">
        <f t="shared" si="40"/>
        <v>0</v>
      </c>
      <c r="AC53" s="429">
        <f t="shared" si="41"/>
        <v>3524.85</v>
      </c>
      <c r="AD53" s="429">
        <f t="shared" si="42"/>
        <v>2814</v>
      </c>
      <c r="AE53" s="429">
        <f t="shared" si="43"/>
        <v>5662.65</v>
      </c>
      <c r="AF53" s="429">
        <f t="shared" si="44"/>
        <v>1832.7329999999999</v>
      </c>
      <c r="AG53" s="429">
        <f t="shared" si="45"/>
        <v>0</v>
      </c>
      <c r="AH53" s="429">
        <f t="shared" si="46"/>
        <v>132.30000000000001</v>
      </c>
      <c r="AI53" s="429">
        <f t="shared" si="47"/>
        <v>0</v>
      </c>
      <c r="AJ53" s="429">
        <f t="shared" si="48"/>
        <v>0</v>
      </c>
      <c r="AK53" s="429">
        <f t="shared" si="49"/>
        <v>29187.9</v>
      </c>
      <c r="AL53" s="481">
        <f t="shared" si="13"/>
        <v>43154.433000000005</v>
      </c>
      <c r="AN53" s="46">
        <f t="shared" si="26"/>
        <v>0</v>
      </c>
      <c r="AO53" s="46">
        <f t="shared" si="27"/>
        <v>0</v>
      </c>
      <c r="AP53" s="46">
        <f t="shared" si="28"/>
        <v>0</v>
      </c>
      <c r="AQ53" s="46">
        <f t="shared" si="29"/>
        <v>167.85000000000002</v>
      </c>
      <c r="AR53" s="46">
        <f t="shared" si="30"/>
        <v>134</v>
      </c>
      <c r="AS53" s="46">
        <f t="shared" si="31"/>
        <v>269.65000000000003</v>
      </c>
      <c r="AT53" s="46">
        <f t="shared" si="32"/>
        <v>87.27300000000001</v>
      </c>
      <c r="AU53" s="46">
        <f t="shared" si="33"/>
        <v>0</v>
      </c>
      <c r="AV53" s="46">
        <f t="shared" si="34"/>
        <v>6.3000000000000007</v>
      </c>
      <c r="AW53" s="46">
        <f t="shared" si="35"/>
        <v>0</v>
      </c>
      <c r="AX53" s="46">
        <f t="shared" si="36"/>
        <v>0</v>
      </c>
      <c r="AY53" s="46">
        <f t="shared" si="37"/>
        <v>1389.9</v>
      </c>
    </row>
    <row r="54" spans="1:51">
      <c r="A54" s="263"/>
      <c r="B54" s="263"/>
      <c r="C54" s="304"/>
      <c r="D54" s="325"/>
      <c r="E54" s="447"/>
      <c r="F54" s="326" t="s">
        <v>347</v>
      </c>
      <c r="G54" s="327"/>
      <c r="H54" s="328"/>
      <c r="I54" s="294"/>
      <c r="J54" s="294"/>
      <c r="K54" s="294"/>
      <c r="L54" s="294"/>
      <c r="M54" s="294"/>
      <c r="N54" s="294"/>
      <c r="O54" s="294"/>
      <c r="P54" s="294"/>
      <c r="Q54" s="294"/>
      <c r="R54" s="294">
        <v>20000</v>
      </c>
      <c r="S54" s="294">
        <v>13500</v>
      </c>
      <c r="T54" s="325"/>
      <c r="U54" s="294">
        <f t="shared" ref="U54" si="50">SUM(H54:S54)+T54</f>
        <v>33500</v>
      </c>
      <c r="V54" s="304"/>
      <c r="W54" s="297">
        <f t="shared" si="10"/>
        <v>33500</v>
      </c>
      <c r="Z54" s="429">
        <f t="shared" si="38"/>
        <v>0</v>
      </c>
      <c r="AA54" s="429">
        <f t="shared" si="39"/>
        <v>0</v>
      </c>
      <c r="AB54" s="429">
        <f t="shared" si="40"/>
        <v>0</v>
      </c>
      <c r="AC54" s="429">
        <f t="shared" si="41"/>
        <v>0</v>
      </c>
      <c r="AD54" s="429">
        <f t="shared" si="42"/>
        <v>0</v>
      </c>
      <c r="AE54" s="429">
        <f t="shared" si="43"/>
        <v>0</v>
      </c>
      <c r="AF54" s="429">
        <f t="shared" si="44"/>
        <v>0</v>
      </c>
      <c r="AG54" s="429">
        <f t="shared" si="45"/>
        <v>0</v>
      </c>
      <c r="AH54" s="429">
        <f t="shared" si="46"/>
        <v>0</v>
      </c>
      <c r="AI54" s="429">
        <f t="shared" si="47"/>
        <v>0</v>
      </c>
      <c r="AJ54" s="429">
        <f t="shared" si="48"/>
        <v>21000</v>
      </c>
      <c r="AK54" s="429">
        <f t="shared" si="49"/>
        <v>14175</v>
      </c>
      <c r="AL54" s="481">
        <f t="shared" si="13"/>
        <v>35175</v>
      </c>
      <c r="AN54" s="46">
        <f t="shared" si="26"/>
        <v>0</v>
      </c>
      <c r="AO54" s="46">
        <f t="shared" si="27"/>
        <v>0</v>
      </c>
      <c r="AP54" s="46">
        <f t="shared" si="28"/>
        <v>0</v>
      </c>
      <c r="AQ54" s="46">
        <f t="shared" si="29"/>
        <v>0</v>
      </c>
      <c r="AR54" s="46">
        <f t="shared" si="30"/>
        <v>0</v>
      </c>
      <c r="AS54" s="46">
        <f t="shared" si="31"/>
        <v>0</v>
      </c>
      <c r="AT54" s="46">
        <f t="shared" si="32"/>
        <v>0</v>
      </c>
      <c r="AU54" s="46">
        <f t="shared" si="33"/>
        <v>0</v>
      </c>
      <c r="AV54" s="46">
        <f t="shared" si="34"/>
        <v>0</v>
      </c>
      <c r="AW54" s="46">
        <f t="shared" si="35"/>
        <v>0</v>
      </c>
      <c r="AX54" s="46">
        <f t="shared" si="36"/>
        <v>1000</v>
      </c>
      <c r="AY54" s="46">
        <f t="shared" si="37"/>
        <v>675</v>
      </c>
    </row>
    <row r="55" spans="1:51">
      <c r="A55" s="263"/>
      <c r="B55" s="263"/>
      <c r="C55" s="304"/>
      <c r="D55" s="325">
        <v>935.1</v>
      </c>
      <c r="E55" s="447"/>
      <c r="F55" s="326" t="s">
        <v>32</v>
      </c>
      <c r="G55" s="327"/>
      <c r="H55" s="328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325"/>
      <c r="U55" s="294">
        <f t="shared" si="9"/>
        <v>0</v>
      </c>
      <c r="V55" s="304">
        <v>0</v>
      </c>
      <c r="W55" s="297">
        <f t="shared" si="10"/>
        <v>0</v>
      </c>
      <c r="Z55" s="429">
        <f t="shared" si="38"/>
        <v>0</v>
      </c>
      <c r="AA55" s="429">
        <f t="shared" si="39"/>
        <v>0</v>
      </c>
      <c r="AB55" s="429">
        <f t="shared" si="40"/>
        <v>0</v>
      </c>
      <c r="AC55" s="429">
        <f t="shared" si="41"/>
        <v>0</v>
      </c>
      <c r="AD55" s="429">
        <f t="shared" si="42"/>
        <v>0</v>
      </c>
      <c r="AE55" s="429">
        <f t="shared" si="43"/>
        <v>0</v>
      </c>
      <c r="AF55" s="429">
        <f t="shared" si="44"/>
        <v>0</v>
      </c>
      <c r="AG55" s="429">
        <f t="shared" si="45"/>
        <v>0</v>
      </c>
      <c r="AH55" s="429">
        <f t="shared" si="46"/>
        <v>0</v>
      </c>
      <c r="AI55" s="429">
        <f t="shared" si="47"/>
        <v>0</v>
      </c>
      <c r="AJ55" s="429">
        <f t="shared" si="48"/>
        <v>0</v>
      </c>
      <c r="AK55" s="429">
        <f t="shared" si="49"/>
        <v>0</v>
      </c>
      <c r="AL55" s="481">
        <f t="shared" si="13"/>
        <v>0</v>
      </c>
      <c r="AN55" s="46">
        <f t="shared" si="26"/>
        <v>0</v>
      </c>
      <c r="AO55" s="46">
        <f t="shared" si="27"/>
        <v>0</v>
      </c>
      <c r="AP55" s="46">
        <f t="shared" si="28"/>
        <v>0</v>
      </c>
      <c r="AQ55" s="46">
        <f t="shared" si="29"/>
        <v>0</v>
      </c>
      <c r="AR55" s="46">
        <f t="shared" si="30"/>
        <v>0</v>
      </c>
      <c r="AS55" s="46">
        <f t="shared" si="31"/>
        <v>0</v>
      </c>
      <c r="AT55" s="46">
        <f t="shared" si="32"/>
        <v>0</v>
      </c>
      <c r="AU55" s="46">
        <f t="shared" si="33"/>
        <v>0</v>
      </c>
      <c r="AV55" s="46">
        <f t="shared" si="34"/>
        <v>0</v>
      </c>
      <c r="AW55" s="46">
        <f t="shared" si="35"/>
        <v>0</v>
      </c>
      <c r="AX55" s="46">
        <f t="shared" si="36"/>
        <v>0</v>
      </c>
      <c r="AY55" s="46">
        <f t="shared" si="37"/>
        <v>0</v>
      </c>
    </row>
    <row r="56" spans="1:51">
      <c r="A56" s="263"/>
      <c r="B56" s="263"/>
      <c r="C56" s="304">
        <v>11877.8</v>
      </c>
      <c r="D56" s="325">
        <v>0</v>
      </c>
      <c r="E56" s="447"/>
      <c r="F56" s="326" t="s">
        <v>33</v>
      </c>
      <c r="G56" s="327"/>
      <c r="H56" s="328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325"/>
      <c r="U56" s="294">
        <f t="shared" si="9"/>
        <v>0</v>
      </c>
      <c r="V56" s="304">
        <v>0</v>
      </c>
      <c r="W56" s="297">
        <f t="shared" si="10"/>
        <v>0</v>
      </c>
      <c r="Z56" s="429">
        <f t="shared" si="38"/>
        <v>0</v>
      </c>
      <c r="AA56" s="429">
        <f t="shared" si="39"/>
        <v>0</v>
      </c>
      <c r="AB56" s="429">
        <f t="shared" si="40"/>
        <v>0</v>
      </c>
      <c r="AC56" s="429">
        <f t="shared" si="41"/>
        <v>0</v>
      </c>
      <c r="AD56" s="429">
        <f t="shared" si="42"/>
        <v>0</v>
      </c>
      <c r="AE56" s="429">
        <f t="shared" si="43"/>
        <v>0</v>
      </c>
      <c r="AF56" s="429">
        <f t="shared" si="44"/>
        <v>0</v>
      </c>
      <c r="AG56" s="429">
        <f t="shared" si="45"/>
        <v>0</v>
      </c>
      <c r="AH56" s="429">
        <f t="shared" si="46"/>
        <v>0</v>
      </c>
      <c r="AI56" s="429">
        <f t="shared" si="47"/>
        <v>0</v>
      </c>
      <c r="AJ56" s="429">
        <f t="shared" si="48"/>
        <v>0</v>
      </c>
      <c r="AK56" s="429">
        <f t="shared" si="49"/>
        <v>0</v>
      </c>
      <c r="AL56" s="481">
        <f t="shared" si="13"/>
        <v>0</v>
      </c>
      <c r="AN56" s="46">
        <f t="shared" si="26"/>
        <v>0</v>
      </c>
      <c r="AO56" s="46">
        <f t="shared" si="27"/>
        <v>0</v>
      </c>
      <c r="AP56" s="46">
        <f t="shared" si="28"/>
        <v>0</v>
      </c>
      <c r="AQ56" s="46">
        <f t="shared" si="29"/>
        <v>0</v>
      </c>
      <c r="AR56" s="46">
        <f t="shared" si="30"/>
        <v>0</v>
      </c>
      <c r="AS56" s="46">
        <f t="shared" si="31"/>
        <v>0</v>
      </c>
      <c r="AT56" s="46">
        <f t="shared" si="32"/>
        <v>0</v>
      </c>
      <c r="AU56" s="46">
        <f t="shared" si="33"/>
        <v>0</v>
      </c>
      <c r="AV56" s="46">
        <f t="shared" si="34"/>
        <v>0</v>
      </c>
      <c r="AW56" s="46">
        <f t="shared" si="35"/>
        <v>0</v>
      </c>
      <c r="AX56" s="46">
        <f t="shared" si="36"/>
        <v>0</v>
      </c>
      <c r="AY56" s="46">
        <f t="shared" si="37"/>
        <v>0</v>
      </c>
    </row>
    <row r="57" spans="1:51">
      <c r="A57" s="263"/>
      <c r="B57" s="263"/>
      <c r="C57" s="304">
        <v>29974.1</v>
      </c>
      <c r="D57" s="325">
        <v>76534.649999999994</v>
      </c>
      <c r="E57" s="447">
        <v>29773.73</v>
      </c>
      <c r="F57" s="326" t="s">
        <v>35</v>
      </c>
      <c r="G57" s="327"/>
      <c r="H57" s="328">
        <v>4461.67</v>
      </c>
      <c r="I57" s="325">
        <v>3508.17</v>
      </c>
      <c r="J57" s="325">
        <v>22595.13</v>
      </c>
      <c r="K57" s="325">
        <v>484</v>
      </c>
      <c r="L57" s="325">
        <v>4082.3</v>
      </c>
      <c r="M57" s="325">
        <v>16833.95</v>
      </c>
      <c r="N57" s="325"/>
      <c r="O57" s="325"/>
      <c r="P57" s="325">
        <v>5861.9</v>
      </c>
      <c r="Q57" s="325"/>
      <c r="R57" s="325">
        <v>5695</v>
      </c>
      <c r="S57" s="294">
        <v>8135</v>
      </c>
      <c r="T57" s="325"/>
      <c r="U57" s="294">
        <f t="shared" si="9"/>
        <v>71657.119999999995</v>
      </c>
      <c r="V57" s="304">
        <v>31034</v>
      </c>
      <c r="W57" s="297">
        <f t="shared" si="10"/>
        <v>40623.119999999995</v>
      </c>
      <c r="Z57" s="429">
        <f t="shared" si="38"/>
        <v>4684.7534999999998</v>
      </c>
      <c r="AA57" s="429">
        <f t="shared" si="39"/>
        <v>3683.5785000000001</v>
      </c>
      <c r="AB57" s="429">
        <f t="shared" si="40"/>
        <v>23724.886500000001</v>
      </c>
      <c r="AC57" s="429">
        <f t="shared" si="41"/>
        <v>508.2</v>
      </c>
      <c r="AD57" s="429">
        <f t="shared" si="42"/>
        <v>4286.415</v>
      </c>
      <c r="AE57" s="429">
        <f t="shared" si="43"/>
        <v>17675.647499999999</v>
      </c>
      <c r="AF57" s="429">
        <f t="shared" si="44"/>
        <v>0</v>
      </c>
      <c r="AG57" s="429">
        <f t="shared" si="45"/>
        <v>0</v>
      </c>
      <c r="AH57" s="429">
        <f t="shared" si="46"/>
        <v>6154.9949999999999</v>
      </c>
      <c r="AI57" s="429">
        <f t="shared" si="47"/>
        <v>0</v>
      </c>
      <c r="AJ57" s="429">
        <f t="shared" si="48"/>
        <v>5979.75</v>
      </c>
      <c r="AK57" s="429">
        <f t="shared" si="49"/>
        <v>8541.75</v>
      </c>
      <c r="AL57" s="481">
        <f t="shared" si="13"/>
        <v>75239.975999999995</v>
      </c>
      <c r="AN57" s="46">
        <f t="shared" si="26"/>
        <v>223.08350000000002</v>
      </c>
      <c r="AO57" s="46">
        <f t="shared" si="27"/>
        <v>175.4085</v>
      </c>
      <c r="AP57" s="46">
        <f t="shared" si="28"/>
        <v>1129.7565000000002</v>
      </c>
      <c r="AQ57" s="46">
        <f t="shared" si="29"/>
        <v>24.200000000000003</v>
      </c>
      <c r="AR57" s="46">
        <f t="shared" si="30"/>
        <v>204.11500000000001</v>
      </c>
      <c r="AS57" s="46">
        <f t="shared" si="31"/>
        <v>841.6975000000001</v>
      </c>
      <c r="AT57" s="46">
        <f t="shared" si="32"/>
        <v>0</v>
      </c>
      <c r="AU57" s="46">
        <f t="shared" si="33"/>
        <v>0</v>
      </c>
      <c r="AV57" s="46">
        <f t="shared" si="34"/>
        <v>293.09499999999997</v>
      </c>
      <c r="AW57" s="46">
        <f t="shared" si="35"/>
        <v>0</v>
      </c>
      <c r="AX57" s="46">
        <f t="shared" si="36"/>
        <v>284.75</v>
      </c>
      <c r="AY57" s="46">
        <f t="shared" si="37"/>
        <v>406.75</v>
      </c>
    </row>
    <row r="58" spans="1:51">
      <c r="A58" s="263"/>
      <c r="B58" s="263"/>
      <c r="C58" s="304">
        <v>6820</v>
      </c>
      <c r="D58" s="325">
        <v>6192.29</v>
      </c>
      <c r="E58" s="447"/>
      <c r="F58" s="326" t="s">
        <v>38</v>
      </c>
      <c r="G58" s="327"/>
      <c r="H58" s="328"/>
      <c r="I58" s="325"/>
      <c r="J58" s="325"/>
      <c r="K58" s="325"/>
      <c r="L58" s="325"/>
      <c r="M58" s="325"/>
      <c r="N58" s="325"/>
      <c r="O58" s="325">
        <v>10000</v>
      </c>
      <c r="P58" s="325"/>
      <c r="Q58" s="325"/>
      <c r="R58" s="325"/>
      <c r="S58" s="294"/>
      <c r="T58" s="325"/>
      <c r="U58" s="294">
        <f t="shared" si="9"/>
        <v>10000</v>
      </c>
      <c r="V58" s="304">
        <v>0</v>
      </c>
      <c r="W58" s="297">
        <f t="shared" si="10"/>
        <v>10000</v>
      </c>
      <c r="Z58" s="429">
        <f t="shared" si="38"/>
        <v>0</v>
      </c>
      <c r="AA58" s="429">
        <f t="shared" si="39"/>
        <v>0</v>
      </c>
      <c r="AB58" s="429">
        <f t="shared" si="40"/>
        <v>0</v>
      </c>
      <c r="AC58" s="429">
        <f t="shared" si="41"/>
        <v>0</v>
      </c>
      <c r="AD58" s="429">
        <f t="shared" si="42"/>
        <v>0</v>
      </c>
      <c r="AE58" s="429">
        <f t="shared" si="43"/>
        <v>0</v>
      </c>
      <c r="AF58" s="429">
        <f t="shared" si="44"/>
        <v>0</v>
      </c>
      <c r="AG58" s="429">
        <f t="shared" si="45"/>
        <v>10500</v>
      </c>
      <c r="AH58" s="429">
        <f t="shared" si="46"/>
        <v>0</v>
      </c>
      <c r="AI58" s="429">
        <f t="shared" si="47"/>
        <v>0</v>
      </c>
      <c r="AJ58" s="429">
        <f t="shared" si="48"/>
        <v>0</v>
      </c>
      <c r="AK58" s="429">
        <f t="shared" si="49"/>
        <v>0</v>
      </c>
      <c r="AL58" s="481">
        <f t="shared" si="13"/>
        <v>10500</v>
      </c>
      <c r="AN58" s="46">
        <f t="shared" si="26"/>
        <v>0</v>
      </c>
      <c r="AO58" s="46">
        <f t="shared" si="27"/>
        <v>0</v>
      </c>
      <c r="AP58" s="46">
        <f t="shared" si="28"/>
        <v>0</v>
      </c>
      <c r="AQ58" s="46">
        <f t="shared" si="29"/>
        <v>0</v>
      </c>
      <c r="AR58" s="46">
        <f t="shared" si="30"/>
        <v>0</v>
      </c>
      <c r="AS58" s="46">
        <f t="shared" si="31"/>
        <v>0</v>
      </c>
      <c r="AT58" s="46">
        <f t="shared" si="32"/>
        <v>0</v>
      </c>
      <c r="AU58" s="46">
        <f t="shared" si="33"/>
        <v>500</v>
      </c>
      <c r="AV58" s="46">
        <f t="shared" si="34"/>
        <v>0</v>
      </c>
      <c r="AW58" s="46">
        <f t="shared" si="35"/>
        <v>0</v>
      </c>
      <c r="AX58" s="46">
        <f t="shared" si="36"/>
        <v>0</v>
      </c>
      <c r="AY58" s="46">
        <f t="shared" si="37"/>
        <v>0</v>
      </c>
    </row>
    <row r="59" spans="1:51">
      <c r="A59" s="263"/>
      <c r="B59" s="263"/>
      <c r="C59" s="304">
        <v>801</v>
      </c>
      <c r="D59" s="325">
        <v>0</v>
      </c>
      <c r="E59" s="447"/>
      <c r="F59" s="326" t="s">
        <v>78</v>
      </c>
      <c r="G59" s="327"/>
      <c r="H59" s="328"/>
      <c r="I59" s="325">
        <v>760</v>
      </c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294">
        <f t="shared" si="9"/>
        <v>760</v>
      </c>
      <c r="V59" s="304">
        <v>0</v>
      </c>
      <c r="W59" s="297">
        <f t="shared" si="10"/>
        <v>760</v>
      </c>
      <c r="Z59" s="429">
        <f t="shared" si="38"/>
        <v>0</v>
      </c>
      <c r="AA59" s="429">
        <f t="shared" si="39"/>
        <v>798</v>
      </c>
      <c r="AB59" s="429">
        <f t="shared" si="40"/>
        <v>0</v>
      </c>
      <c r="AC59" s="429">
        <f t="shared" si="41"/>
        <v>0</v>
      </c>
      <c r="AD59" s="429">
        <f t="shared" si="42"/>
        <v>0</v>
      </c>
      <c r="AE59" s="429">
        <f t="shared" si="43"/>
        <v>0</v>
      </c>
      <c r="AF59" s="429">
        <f t="shared" si="44"/>
        <v>0</v>
      </c>
      <c r="AG59" s="429">
        <f t="shared" si="45"/>
        <v>0</v>
      </c>
      <c r="AH59" s="429">
        <f t="shared" si="46"/>
        <v>0</v>
      </c>
      <c r="AI59" s="429">
        <f t="shared" si="47"/>
        <v>0</v>
      </c>
      <c r="AJ59" s="429">
        <f t="shared" si="48"/>
        <v>0</v>
      </c>
      <c r="AK59" s="429">
        <f t="shared" si="49"/>
        <v>0</v>
      </c>
      <c r="AL59" s="481">
        <f t="shared" si="13"/>
        <v>798</v>
      </c>
      <c r="AN59" s="46">
        <f t="shared" si="26"/>
        <v>0</v>
      </c>
      <c r="AO59" s="46">
        <f t="shared" si="27"/>
        <v>38</v>
      </c>
      <c r="AP59" s="46">
        <f t="shared" si="28"/>
        <v>0</v>
      </c>
      <c r="AQ59" s="46">
        <f t="shared" si="29"/>
        <v>0</v>
      </c>
      <c r="AR59" s="46">
        <f t="shared" si="30"/>
        <v>0</v>
      </c>
      <c r="AS59" s="46">
        <f t="shared" si="31"/>
        <v>0</v>
      </c>
      <c r="AT59" s="46">
        <f t="shared" si="32"/>
        <v>0</v>
      </c>
      <c r="AU59" s="46">
        <f t="shared" si="33"/>
        <v>0</v>
      </c>
      <c r="AV59" s="46">
        <f t="shared" si="34"/>
        <v>0</v>
      </c>
      <c r="AW59" s="46">
        <f t="shared" si="35"/>
        <v>0</v>
      </c>
      <c r="AX59" s="46">
        <f t="shared" si="36"/>
        <v>0</v>
      </c>
      <c r="AY59" s="46">
        <f t="shared" si="37"/>
        <v>0</v>
      </c>
    </row>
    <row r="60" spans="1:51">
      <c r="A60" s="263"/>
      <c r="B60" s="263"/>
      <c r="C60" s="304"/>
      <c r="D60" s="325"/>
      <c r="E60" s="447"/>
      <c r="F60" s="326" t="s">
        <v>70</v>
      </c>
      <c r="G60" s="327"/>
      <c r="H60" s="328"/>
      <c r="I60" s="325"/>
      <c r="J60" s="325"/>
      <c r="K60" s="325">
        <v>4000</v>
      </c>
      <c r="L60" s="325"/>
      <c r="M60" s="325">
        <v>4000</v>
      </c>
      <c r="N60" s="325"/>
      <c r="O60" s="325"/>
      <c r="P60" s="325"/>
      <c r="Q60" s="325"/>
      <c r="R60" s="325"/>
      <c r="S60" s="325"/>
      <c r="T60" s="325"/>
      <c r="U60" s="294">
        <f t="shared" ref="U60" si="51">SUM(H60:S60)+T60</f>
        <v>8000</v>
      </c>
      <c r="V60" s="304">
        <v>0</v>
      </c>
      <c r="W60" s="297">
        <f t="shared" si="10"/>
        <v>8000</v>
      </c>
      <c r="Z60" s="429">
        <f t="shared" si="38"/>
        <v>0</v>
      </c>
      <c r="AA60" s="429">
        <f t="shared" si="39"/>
        <v>0</v>
      </c>
      <c r="AB60" s="429">
        <f t="shared" si="40"/>
        <v>0</v>
      </c>
      <c r="AC60" s="429">
        <f t="shared" si="41"/>
        <v>4200</v>
      </c>
      <c r="AD60" s="429">
        <f t="shared" si="42"/>
        <v>0</v>
      </c>
      <c r="AE60" s="429">
        <f t="shared" si="43"/>
        <v>4200</v>
      </c>
      <c r="AF60" s="429">
        <f t="shared" si="44"/>
        <v>0</v>
      </c>
      <c r="AG60" s="429">
        <f t="shared" si="45"/>
        <v>0</v>
      </c>
      <c r="AH60" s="429">
        <f t="shared" si="46"/>
        <v>0</v>
      </c>
      <c r="AI60" s="429">
        <f t="shared" si="47"/>
        <v>0</v>
      </c>
      <c r="AJ60" s="429">
        <f t="shared" si="48"/>
        <v>0</v>
      </c>
      <c r="AK60" s="429">
        <f t="shared" si="49"/>
        <v>0</v>
      </c>
      <c r="AL60" s="481">
        <f t="shared" si="13"/>
        <v>8400</v>
      </c>
      <c r="AN60" s="46">
        <f t="shared" si="26"/>
        <v>0</v>
      </c>
      <c r="AO60" s="46">
        <f t="shared" si="27"/>
        <v>0</v>
      </c>
      <c r="AP60" s="46">
        <f t="shared" si="28"/>
        <v>0</v>
      </c>
      <c r="AQ60" s="46">
        <f t="shared" si="29"/>
        <v>200</v>
      </c>
      <c r="AR60" s="46">
        <f t="shared" si="30"/>
        <v>0</v>
      </c>
      <c r="AS60" s="46">
        <f t="shared" si="31"/>
        <v>200</v>
      </c>
      <c r="AT60" s="46">
        <f t="shared" si="32"/>
        <v>0</v>
      </c>
      <c r="AU60" s="46">
        <f t="shared" si="33"/>
        <v>0</v>
      </c>
      <c r="AV60" s="46">
        <f t="shared" si="34"/>
        <v>0</v>
      </c>
      <c r="AW60" s="46">
        <f t="shared" si="35"/>
        <v>0</v>
      </c>
      <c r="AX60" s="46">
        <f t="shared" si="36"/>
        <v>0</v>
      </c>
      <c r="AY60" s="46">
        <f t="shared" si="37"/>
        <v>0</v>
      </c>
    </row>
    <row r="61" spans="1:51">
      <c r="A61" s="263"/>
      <c r="B61" s="263"/>
      <c r="C61" s="304">
        <v>0</v>
      </c>
      <c r="D61" s="325">
        <v>0</v>
      </c>
      <c r="E61" s="447"/>
      <c r="F61" s="326" t="s">
        <v>40</v>
      </c>
      <c r="G61" s="327"/>
      <c r="H61" s="328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294">
        <f t="shared" si="9"/>
        <v>0</v>
      </c>
      <c r="V61" s="310">
        <v>0</v>
      </c>
      <c r="W61" s="297">
        <f t="shared" si="10"/>
        <v>0</v>
      </c>
      <c r="Z61" s="432">
        <f t="shared" si="38"/>
        <v>0</v>
      </c>
      <c r="AA61" s="432">
        <f t="shared" si="39"/>
        <v>0</v>
      </c>
      <c r="AB61" s="432">
        <f t="shared" si="40"/>
        <v>0</v>
      </c>
      <c r="AC61" s="432">
        <f t="shared" si="41"/>
        <v>0</v>
      </c>
      <c r="AD61" s="432">
        <f t="shared" si="42"/>
        <v>0</v>
      </c>
      <c r="AE61" s="432">
        <f t="shared" si="43"/>
        <v>0</v>
      </c>
      <c r="AF61" s="432">
        <f t="shared" si="44"/>
        <v>0</v>
      </c>
      <c r="AG61" s="432">
        <f t="shared" si="45"/>
        <v>0</v>
      </c>
      <c r="AH61" s="432">
        <f t="shared" si="46"/>
        <v>0</v>
      </c>
      <c r="AI61" s="432">
        <f t="shared" si="47"/>
        <v>0</v>
      </c>
      <c r="AJ61" s="432">
        <f t="shared" si="48"/>
        <v>0</v>
      </c>
      <c r="AK61" s="432">
        <f t="shared" si="49"/>
        <v>0</v>
      </c>
      <c r="AL61" s="482">
        <f t="shared" si="13"/>
        <v>0</v>
      </c>
      <c r="AN61" s="46">
        <f t="shared" si="26"/>
        <v>0</v>
      </c>
      <c r="AO61" s="46">
        <f t="shared" si="27"/>
        <v>0</v>
      </c>
      <c r="AP61" s="46">
        <f t="shared" si="28"/>
        <v>0</v>
      </c>
      <c r="AQ61" s="46">
        <f t="shared" si="29"/>
        <v>0</v>
      </c>
      <c r="AR61" s="46">
        <f t="shared" si="30"/>
        <v>0</v>
      </c>
      <c r="AS61" s="46">
        <f t="shared" si="31"/>
        <v>0</v>
      </c>
      <c r="AT61" s="46">
        <f t="shared" si="32"/>
        <v>0</v>
      </c>
      <c r="AU61" s="46">
        <f t="shared" si="33"/>
        <v>0</v>
      </c>
      <c r="AV61" s="46">
        <f t="shared" si="34"/>
        <v>0</v>
      </c>
      <c r="AW61" s="46">
        <f t="shared" si="35"/>
        <v>0</v>
      </c>
      <c r="AX61" s="46">
        <f t="shared" si="36"/>
        <v>0</v>
      </c>
      <c r="AY61" s="46">
        <f t="shared" si="37"/>
        <v>0</v>
      </c>
    </row>
    <row r="62" spans="1:51" ht="15">
      <c r="A62" s="263"/>
      <c r="B62" s="263"/>
      <c r="C62" s="311">
        <v>702307.3</v>
      </c>
      <c r="D62" s="311">
        <f>SUM(D46:D57)</f>
        <v>753805.75000000012</v>
      </c>
      <c r="E62" s="311">
        <f>SUM(E46:E57)</f>
        <v>737548.77999999991</v>
      </c>
      <c r="F62" s="329" t="s">
        <v>97</v>
      </c>
      <c r="G62" s="330"/>
      <c r="H62" s="311">
        <f>SUM(H46:H57)</f>
        <v>65315.360000000001</v>
      </c>
      <c r="I62" s="311">
        <f>SUM(I46:I61)</f>
        <v>57323.849999999991</v>
      </c>
      <c r="J62" s="311">
        <f>SUM(J46:J61)</f>
        <v>83812.040000000008</v>
      </c>
      <c r="K62" s="311">
        <f>SUM(K46:K61)</f>
        <v>60900.74</v>
      </c>
      <c r="L62" s="311">
        <f>SUM(L46:L61)</f>
        <v>67978.37</v>
      </c>
      <c r="M62" s="311">
        <f t="shared" ref="M62:W62" si="52">SUM(M46:M61)</f>
        <v>139194.72</v>
      </c>
      <c r="N62" s="311">
        <f t="shared" si="52"/>
        <v>62599.15</v>
      </c>
      <c r="O62" s="311">
        <f t="shared" si="52"/>
        <v>66986.33</v>
      </c>
      <c r="P62" s="311">
        <f t="shared" si="52"/>
        <v>201905.05</v>
      </c>
      <c r="Q62" s="311">
        <f t="shared" si="52"/>
        <v>51297.72</v>
      </c>
      <c r="R62" s="311">
        <f t="shared" si="52"/>
        <v>86947.07</v>
      </c>
      <c r="S62" s="311">
        <f t="shared" si="52"/>
        <v>149900.18</v>
      </c>
      <c r="T62" s="311">
        <f t="shared" si="52"/>
        <v>0</v>
      </c>
      <c r="U62" s="311">
        <f t="shared" si="52"/>
        <v>1094160.58</v>
      </c>
      <c r="V62" s="311">
        <f t="shared" si="52"/>
        <v>789746</v>
      </c>
      <c r="W62" s="311">
        <f t="shared" si="52"/>
        <v>304414.57999999996</v>
      </c>
      <c r="Z62" s="311">
        <f t="shared" ref="Z62:AL62" si="53">SUM(Z46:Z61)</f>
        <v>68581.147000000012</v>
      </c>
      <c r="AA62" s="311">
        <f t="shared" si="53"/>
        <v>60190.061500000003</v>
      </c>
      <c r="AB62" s="311">
        <f t="shared" si="53"/>
        <v>88002.661000000007</v>
      </c>
      <c r="AC62" s="311">
        <f t="shared" si="53"/>
        <v>63945.795999999995</v>
      </c>
      <c r="AD62" s="311">
        <f t="shared" si="53"/>
        <v>71377.30750000001</v>
      </c>
      <c r="AE62" s="311">
        <f t="shared" si="53"/>
        <v>83248.323999999993</v>
      </c>
      <c r="AF62" s="311">
        <f t="shared" si="53"/>
        <v>65729.126499999998</v>
      </c>
      <c r="AG62" s="311">
        <f t="shared" si="53"/>
        <v>70336.106499999994</v>
      </c>
      <c r="AH62" s="311">
        <f t="shared" si="53"/>
        <v>70783.0285</v>
      </c>
      <c r="AI62" s="311">
        <f t="shared" si="53"/>
        <v>53862.625</v>
      </c>
      <c r="AJ62" s="311">
        <f t="shared" si="53"/>
        <v>91294.442500000005</v>
      </c>
      <c r="AK62" s="311">
        <f t="shared" si="53"/>
        <v>181839.003</v>
      </c>
      <c r="AL62" s="311">
        <f t="shared" si="53"/>
        <v>969189.62899999996</v>
      </c>
    </row>
    <row r="63" spans="1:51">
      <c r="A63" s="263"/>
      <c r="B63" s="263"/>
      <c r="C63" s="265"/>
      <c r="D63" s="316"/>
      <c r="E63" s="316"/>
      <c r="F63" s="331"/>
      <c r="G63" s="331"/>
      <c r="H63" s="332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W63" s="318"/>
    </row>
    <row r="64" spans="1:51" s="46" customFormat="1">
      <c r="A64" s="263"/>
      <c r="B64" s="263"/>
      <c r="C64" s="265"/>
      <c r="D64" s="316"/>
      <c r="E64" s="316"/>
      <c r="F64" s="263"/>
      <c r="G64" s="263"/>
      <c r="H64" s="265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265"/>
      <c r="W64" s="318"/>
      <c r="X64" s="262"/>
      <c r="Y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1:51" s="46" customFormat="1" ht="15">
      <c r="A65" s="263"/>
      <c r="B65" s="263"/>
      <c r="C65" s="319"/>
      <c r="D65" s="320"/>
      <c r="E65" s="448"/>
      <c r="F65" s="333" t="s">
        <v>18</v>
      </c>
      <c r="G65" s="322"/>
      <c r="H65" s="334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20"/>
      <c r="V65" s="319"/>
      <c r="W65" s="324"/>
      <c r="X65" s="262"/>
      <c r="Y65" s="260"/>
      <c r="Z65" s="435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436"/>
      <c r="AL65" s="436"/>
    </row>
    <row r="66" spans="1:51" s="46" customFormat="1" ht="15">
      <c r="A66" s="263"/>
      <c r="B66" s="263"/>
      <c r="C66" s="304">
        <v>4400171.3100000005</v>
      </c>
      <c r="D66" s="325">
        <v>5031877.83</v>
      </c>
      <c r="E66" s="447">
        <f>5469254.78-136220.01</f>
        <v>5333034.7700000005</v>
      </c>
      <c r="F66" s="326" t="s">
        <v>16</v>
      </c>
      <c r="G66" s="336"/>
      <c r="H66" s="328">
        <v>445142.89</v>
      </c>
      <c r="I66" s="325">
        <v>473043.54</v>
      </c>
      <c r="J66" s="325">
        <v>551987.74</v>
      </c>
      <c r="K66" s="325">
        <v>503533.93</v>
      </c>
      <c r="L66" s="325">
        <v>497004.3</v>
      </c>
      <c r="M66" s="325">
        <v>577718.55000000005</v>
      </c>
      <c r="N66" s="325">
        <v>503599.79</v>
      </c>
      <c r="O66" s="325">
        <v>697181.2</v>
      </c>
      <c r="P66" s="325">
        <v>536346.16</v>
      </c>
      <c r="Q66" s="325">
        <v>540461.94999999995</v>
      </c>
      <c r="R66" s="325">
        <v>691457.94</v>
      </c>
      <c r="S66" s="294">
        <v>464067.32</v>
      </c>
      <c r="T66" s="325"/>
      <c r="U66" s="294">
        <f t="shared" ref="U66:U109" si="54">SUM(H66:S66)+T66</f>
        <v>6481545.3100000005</v>
      </c>
      <c r="V66" s="304">
        <v>5586542</v>
      </c>
      <c r="W66" s="297">
        <f t="shared" ref="W66:W109" si="55">+U66-V66</f>
        <v>895003.31000000052</v>
      </c>
      <c r="X66" s="413"/>
      <c r="Y66" s="260"/>
      <c r="Z66" s="429">
        <v>555462.22</v>
      </c>
      <c r="AA66" s="429">
        <v>555462.22</v>
      </c>
      <c r="AB66" s="429">
        <v>616963.80999999994</v>
      </c>
      <c r="AC66" s="429">
        <v>555462.22</v>
      </c>
      <c r="AD66" s="429">
        <v>555462.22</v>
      </c>
      <c r="AE66" s="429">
        <v>616963.80999999994</v>
      </c>
      <c r="AF66" s="429">
        <v>555462.22</v>
      </c>
      <c r="AG66" s="429">
        <v>555462.22</v>
      </c>
      <c r="AH66" s="429">
        <v>616963.80999999994</v>
      </c>
      <c r="AI66" s="429">
        <v>555462.22</v>
      </c>
      <c r="AJ66" s="429">
        <v>555462.22</v>
      </c>
      <c r="AK66" s="429">
        <v>616963.80999999994</v>
      </c>
      <c r="AL66" s="478">
        <f>SUM(Z66:AK66)</f>
        <v>6911552.9999999981</v>
      </c>
      <c r="AN66" s="46">
        <f t="shared" ref="AN66:AY66" si="56">+AN5+AN6</f>
        <v>552041.52</v>
      </c>
      <c r="AO66" s="46">
        <f t="shared" si="56"/>
        <v>552041.52</v>
      </c>
      <c r="AP66" s="46">
        <f t="shared" si="56"/>
        <v>614854.01</v>
      </c>
      <c r="AQ66" s="46">
        <f t="shared" si="56"/>
        <v>552041.52</v>
      </c>
      <c r="AR66" s="46">
        <f t="shared" si="56"/>
        <v>552041.52</v>
      </c>
      <c r="AS66" s="46">
        <f t="shared" si="56"/>
        <v>614854.01</v>
      </c>
      <c r="AT66" s="46">
        <f t="shared" si="56"/>
        <v>552041.52</v>
      </c>
      <c r="AU66" s="46">
        <f t="shared" si="56"/>
        <v>552041.52</v>
      </c>
      <c r="AV66" s="46">
        <f t="shared" si="56"/>
        <v>614854.01</v>
      </c>
      <c r="AW66" s="46">
        <f t="shared" si="56"/>
        <v>552041.52</v>
      </c>
      <c r="AX66" s="46">
        <f t="shared" si="56"/>
        <v>552041.52</v>
      </c>
      <c r="AY66" s="46">
        <f t="shared" si="56"/>
        <v>614854.01</v>
      </c>
    </row>
    <row r="67" spans="1:51" s="46" customFormat="1" ht="15">
      <c r="A67" s="263"/>
      <c r="B67" s="263"/>
      <c r="C67" s="304">
        <v>375199.14000000007</v>
      </c>
      <c r="D67" s="325">
        <v>338809.29999999993</v>
      </c>
      <c r="E67" s="447">
        <v>389199.5</v>
      </c>
      <c r="F67" s="326" t="s">
        <v>58</v>
      </c>
      <c r="G67" s="336"/>
      <c r="H67" s="328">
        <v>33794</v>
      </c>
      <c r="I67" s="325">
        <v>45220.33</v>
      </c>
      <c r="J67" s="325">
        <v>44388.86</v>
      </c>
      <c r="K67" s="325">
        <v>37013.86</v>
      </c>
      <c r="L67" s="325">
        <v>58731.56</v>
      </c>
      <c r="M67" s="325">
        <v>37013.86</v>
      </c>
      <c r="N67" s="325">
        <v>57052.46</v>
      </c>
      <c r="O67" s="325">
        <v>37013.86</v>
      </c>
      <c r="P67" s="325">
        <v>37013.86</v>
      </c>
      <c r="Q67" s="325">
        <v>37013.86</v>
      </c>
      <c r="R67" s="325">
        <v>37829.35</v>
      </c>
      <c r="S67" s="294">
        <v>78766.37</v>
      </c>
      <c r="T67" s="325"/>
      <c r="U67" s="294">
        <f t="shared" si="54"/>
        <v>540852.23</v>
      </c>
      <c r="V67" s="304">
        <v>456219</v>
      </c>
      <c r="W67" s="297">
        <f t="shared" si="55"/>
        <v>84633.229999999981</v>
      </c>
      <c r="X67" s="413"/>
      <c r="Y67" s="260"/>
      <c r="Z67" s="429">
        <v>34025.72</v>
      </c>
      <c r="AA67" s="429">
        <v>34025.72</v>
      </c>
      <c r="AB67" s="429">
        <v>34025.72</v>
      </c>
      <c r="AC67" s="429">
        <v>34025.72</v>
      </c>
      <c r="AD67" s="429">
        <v>34025.72</v>
      </c>
      <c r="AE67" s="429">
        <v>34025.72</v>
      </c>
      <c r="AF67" s="429">
        <v>34025.72</v>
      </c>
      <c r="AG67" s="429">
        <v>34025.72</v>
      </c>
      <c r="AH67" s="429">
        <v>34025.72</v>
      </c>
      <c r="AI67" s="429">
        <v>34025.72</v>
      </c>
      <c r="AJ67" s="429">
        <v>34025.72</v>
      </c>
      <c r="AK67" s="429">
        <v>34025.72</v>
      </c>
      <c r="AL67" s="478">
        <f t="shared" ref="AL67:AL109" si="57">SUM(Z67:AK67)</f>
        <v>408308.6399999999</v>
      </c>
      <c r="AN67" s="46">
        <f>17012.86*2</f>
        <v>34025.72</v>
      </c>
      <c r="AO67" s="46">
        <f t="shared" ref="AO67:AY67" si="58">17012.86*2</f>
        <v>34025.72</v>
      </c>
      <c r="AP67" s="46">
        <f t="shared" si="58"/>
        <v>34025.72</v>
      </c>
      <c r="AQ67" s="46">
        <f t="shared" si="58"/>
        <v>34025.72</v>
      </c>
      <c r="AR67" s="46">
        <f t="shared" si="58"/>
        <v>34025.72</v>
      </c>
      <c r="AS67" s="46">
        <f t="shared" si="58"/>
        <v>34025.72</v>
      </c>
      <c r="AT67" s="46">
        <f t="shared" si="58"/>
        <v>34025.72</v>
      </c>
      <c r="AU67" s="46">
        <f t="shared" si="58"/>
        <v>34025.72</v>
      </c>
      <c r="AV67" s="46">
        <f t="shared" si="58"/>
        <v>34025.72</v>
      </c>
      <c r="AW67" s="46">
        <f t="shared" si="58"/>
        <v>34025.72</v>
      </c>
      <c r="AX67" s="46">
        <v>68051.44</v>
      </c>
      <c r="AY67" s="46">
        <f t="shared" si="58"/>
        <v>34025.72</v>
      </c>
    </row>
    <row r="68" spans="1:51" s="46" customFormat="1" ht="15">
      <c r="A68" s="263"/>
      <c r="B68" s="263"/>
      <c r="C68" s="304">
        <v>131801.47</v>
      </c>
      <c r="D68" s="325">
        <v>200782.62</v>
      </c>
      <c r="E68" s="447">
        <v>226564.64</v>
      </c>
      <c r="F68" s="326" t="s">
        <v>19</v>
      </c>
      <c r="G68" s="336"/>
      <c r="H68" s="328">
        <v>15813.71</v>
      </c>
      <c r="I68" s="325"/>
      <c r="J68" s="325">
        <v>17031.88</v>
      </c>
      <c r="K68" s="325">
        <v>4608.5</v>
      </c>
      <c r="L68" s="325">
        <v>14792.38</v>
      </c>
      <c r="M68" s="325"/>
      <c r="N68" s="325">
        <v>28302.63</v>
      </c>
      <c r="O68" s="325">
        <v>24600.03</v>
      </c>
      <c r="P68" s="325">
        <v>15948.97</v>
      </c>
      <c r="Q68" s="294">
        <v>3697.5</v>
      </c>
      <c r="R68" s="325">
        <v>73733.8</v>
      </c>
      <c r="S68" s="294"/>
      <c r="T68" s="325"/>
      <c r="U68" s="294">
        <f t="shared" si="54"/>
        <v>198529.4</v>
      </c>
      <c r="V68" s="304">
        <v>239695</v>
      </c>
      <c r="W68" s="297">
        <f t="shared" si="55"/>
        <v>-41165.600000000006</v>
      </c>
      <c r="X68" s="413"/>
      <c r="Y68" s="260"/>
      <c r="Z68" s="429">
        <v>10422.790000000001</v>
      </c>
      <c r="AA68" s="429">
        <v>10422.790000000001</v>
      </c>
      <c r="AB68" s="429">
        <v>10422.790000000001</v>
      </c>
      <c r="AC68" s="429">
        <v>10422.790000000001</v>
      </c>
      <c r="AD68" s="429">
        <v>10422.790000000001</v>
      </c>
      <c r="AE68" s="429">
        <v>10422.790000000001</v>
      </c>
      <c r="AF68" s="429">
        <v>10422.790000000001</v>
      </c>
      <c r="AG68" s="429">
        <v>10422.790000000001</v>
      </c>
      <c r="AH68" s="429">
        <v>10422.790000000001</v>
      </c>
      <c r="AI68" s="429">
        <v>10422.790000000001</v>
      </c>
      <c r="AJ68" s="429">
        <v>10422.790000000001</v>
      </c>
      <c r="AK68" s="429">
        <v>10422.790000000001</v>
      </c>
      <c r="AL68" s="478">
        <f t="shared" si="57"/>
        <v>125073.48000000004</v>
      </c>
      <c r="AN68" s="46">
        <f>+H68*0.05</f>
        <v>790.68550000000005</v>
      </c>
      <c r="AO68" s="46">
        <f t="shared" ref="AO68" si="59">+I68*0.05</f>
        <v>0</v>
      </c>
      <c r="AP68" s="46">
        <f t="shared" ref="AP68" si="60">+J68*0.05</f>
        <v>851.59400000000005</v>
      </c>
      <c r="AQ68" s="46">
        <f t="shared" ref="AQ68" si="61">+K68*0.05</f>
        <v>230.42500000000001</v>
      </c>
      <c r="AR68" s="46">
        <f t="shared" ref="AR68" si="62">+L68*0.05</f>
        <v>739.61900000000003</v>
      </c>
      <c r="AS68" s="46">
        <f t="shared" ref="AS68" si="63">+M68*0.05</f>
        <v>0</v>
      </c>
      <c r="AT68" s="46">
        <f t="shared" ref="AT68" si="64">+N68*0.05</f>
        <v>1415.1315000000002</v>
      </c>
      <c r="AU68" s="46">
        <f t="shared" ref="AU68" si="65">+O68*0.05</f>
        <v>1230.0015000000001</v>
      </c>
      <c r="AV68" s="46">
        <f t="shared" ref="AV68" si="66">+P68*0.05</f>
        <v>797.44849999999997</v>
      </c>
      <c r="AW68" s="46">
        <f t="shared" ref="AW68" si="67">+Q68*0.05</f>
        <v>184.875</v>
      </c>
      <c r="AX68" s="46">
        <f t="shared" ref="AX68" si="68">+R68*0.05</f>
        <v>3686.6900000000005</v>
      </c>
      <c r="AY68" s="46">
        <f t="shared" ref="AY68" si="69">+S68*0.05</f>
        <v>0</v>
      </c>
    </row>
    <row r="69" spans="1:51" s="46" customFormat="1" ht="15">
      <c r="A69" s="263"/>
      <c r="B69" s="263"/>
      <c r="C69" s="304">
        <v>374804.08</v>
      </c>
      <c r="D69" s="325">
        <v>418478.52999999997</v>
      </c>
      <c r="E69" s="447">
        <f>839780.83-398738.34</f>
        <v>441042.48999999993</v>
      </c>
      <c r="F69" s="326" t="s">
        <v>20</v>
      </c>
      <c r="G69" s="336"/>
      <c r="H69" s="328"/>
      <c r="I69" s="325"/>
      <c r="J69" s="325"/>
      <c r="K69" s="325"/>
      <c r="L69" s="325"/>
      <c r="M69" s="325"/>
      <c r="N69" s="325"/>
      <c r="O69" s="325">
        <v>4419.84</v>
      </c>
      <c r="P69" s="325"/>
      <c r="Q69" s="325"/>
      <c r="R69" s="325"/>
      <c r="S69" s="328">
        <v>507803.13</v>
      </c>
      <c r="T69" s="325"/>
      <c r="U69" s="294">
        <f t="shared" si="54"/>
        <v>512222.97000000003</v>
      </c>
      <c r="V69" s="304">
        <v>500253</v>
      </c>
      <c r="W69" s="297">
        <f t="shared" si="55"/>
        <v>11969.97000000003</v>
      </c>
      <c r="X69" s="413"/>
      <c r="Y69" s="260"/>
      <c r="Z69" s="429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78">
        <v>616963.80999999994</v>
      </c>
      <c r="AL69" s="478">
        <f t="shared" si="57"/>
        <v>616963.80999999994</v>
      </c>
      <c r="AX69" s="46">
        <v>552041.52</v>
      </c>
    </row>
    <row r="70" spans="1:51" s="46" customFormat="1" ht="15">
      <c r="A70" s="263"/>
      <c r="B70" s="263"/>
      <c r="C70" s="304">
        <v>5000</v>
      </c>
      <c r="D70" s="325">
        <v>1000</v>
      </c>
      <c r="E70" s="447">
        <v>4580.1000000000004</v>
      </c>
      <c r="F70" s="326" t="s">
        <v>51</v>
      </c>
      <c r="G70" s="336"/>
      <c r="H70" s="328"/>
      <c r="I70" s="325"/>
      <c r="J70" s="325"/>
      <c r="K70" s="325"/>
      <c r="L70" s="325"/>
      <c r="M70" s="325"/>
      <c r="N70" s="325"/>
      <c r="O70" s="325">
        <v>20063.7</v>
      </c>
      <c r="P70" s="325"/>
      <c r="Q70" s="325"/>
      <c r="R70" s="325"/>
      <c r="S70" s="328"/>
      <c r="T70" s="325"/>
      <c r="U70" s="294">
        <f t="shared" si="54"/>
        <v>20063.7</v>
      </c>
      <c r="V70" s="304">
        <v>0</v>
      </c>
      <c r="W70" s="297">
        <f t="shared" si="55"/>
        <v>20063.7</v>
      </c>
      <c r="X70" s="413"/>
      <c r="Y70" s="260"/>
      <c r="Z70" s="429">
        <f t="shared" ref="Z70:Z109" si="70">+H70+AN70</f>
        <v>0</v>
      </c>
      <c r="AA70" s="429">
        <f t="shared" ref="AA70:AA109" si="71">+I70+AO70</f>
        <v>0</v>
      </c>
      <c r="AB70" s="429">
        <f t="shared" ref="AB70:AB109" si="72">+J70+AP70</f>
        <v>0</v>
      </c>
      <c r="AC70" s="429">
        <f t="shared" ref="AC70:AC109" si="73">+K70+AQ70</f>
        <v>0</v>
      </c>
      <c r="AD70" s="429">
        <f t="shared" ref="AD70:AD109" si="74">+L70+AR70</f>
        <v>0</v>
      </c>
      <c r="AE70" s="429">
        <f t="shared" ref="AE70:AE109" si="75">+M70+AS70</f>
        <v>0</v>
      </c>
      <c r="AF70" s="429">
        <f t="shared" ref="AF70:AF109" si="76">+N70+AT70</f>
        <v>0</v>
      </c>
      <c r="AG70" s="429">
        <f t="shared" ref="AG70:AG109" si="77">+O70+AU70</f>
        <v>21066.885000000002</v>
      </c>
      <c r="AH70" s="429">
        <f t="shared" ref="AH70:AH109" si="78">+P70+AV70</f>
        <v>0</v>
      </c>
      <c r="AI70" s="429">
        <f t="shared" ref="AI70:AI109" si="79">+Q70+AW70</f>
        <v>0</v>
      </c>
      <c r="AJ70" s="429">
        <f t="shared" ref="AJ70:AJ109" si="80">+R70+AX70</f>
        <v>0</v>
      </c>
      <c r="AK70" s="429">
        <f t="shared" ref="AK70:AK109" si="81">+S70+AY70</f>
        <v>0</v>
      </c>
      <c r="AL70" s="478">
        <f t="shared" si="57"/>
        <v>21066.885000000002</v>
      </c>
      <c r="AN70" s="46">
        <f>+H70*0.05</f>
        <v>0</v>
      </c>
      <c r="AO70" s="46">
        <f t="shared" ref="AO70:AY70" si="82">+I70*0.05</f>
        <v>0</v>
      </c>
      <c r="AP70" s="46">
        <f t="shared" si="82"/>
        <v>0</v>
      </c>
      <c r="AQ70" s="46">
        <f t="shared" si="82"/>
        <v>0</v>
      </c>
      <c r="AR70" s="46">
        <f t="shared" si="82"/>
        <v>0</v>
      </c>
      <c r="AS70" s="46">
        <f t="shared" si="82"/>
        <v>0</v>
      </c>
      <c r="AT70" s="46">
        <f t="shared" si="82"/>
        <v>0</v>
      </c>
      <c r="AU70" s="46">
        <f t="shared" si="82"/>
        <v>1003.1850000000001</v>
      </c>
      <c r="AV70" s="46">
        <f t="shared" si="82"/>
        <v>0</v>
      </c>
      <c r="AW70" s="46">
        <f t="shared" si="82"/>
        <v>0</v>
      </c>
      <c r="AX70" s="46">
        <f t="shared" si="82"/>
        <v>0</v>
      </c>
      <c r="AY70" s="46">
        <f t="shared" si="82"/>
        <v>0</v>
      </c>
    </row>
    <row r="71" spans="1:51" s="46" customFormat="1" ht="15">
      <c r="A71" s="263"/>
      <c r="B71" s="263"/>
      <c r="C71" s="304">
        <v>4929</v>
      </c>
      <c r="D71" s="325">
        <v>0</v>
      </c>
      <c r="E71" s="447">
        <v>12240</v>
      </c>
      <c r="F71" s="326" t="s">
        <v>52</v>
      </c>
      <c r="G71" s="336"/>
      <c r="H71" s="328"/>
      <c r="I71" s="325"/>
      <c r="J71" s="325">
        <v>389.5</v>
      </c>
      <c r="K71" s="325"/>
      <c r="L71" s="325"/>
      <c r="M71" s="325">
        <v>21069.29</v>
      </c>
      <c r="N71" s="325"/>
      <c r="O71" s="325"/>
      <c r="P71" s="325"/>
      <c r="Q71" s="325"/>
      <c r="R71" s="325"/>
      <c r="S71" s="325">
        <v>780</v>
      </c>
      <c r="T71" s="325"/>
      <c r="U71" s="294">
        <f t="shared" si="54"/>
        <v>22238.79</v>
      </c>
      <c r="V71" s="304">
        <v>12852</v>
      </c>
      <c r="W71" s="297">
        <f t="shared" si="55"/>
        <v>9386.7900000000009</v>
      </c>
      <c r="X71" s="413"/>
      <c r="Y71" s="260"/>
      <c r="Z71" s="429">
        <f t="shared" si="70"/>
        <v>0</v>
      </c>
      <c r="AA71" s="429">
        <f t="shared" si="71"/>
        <v>0</v>
      </c>
      <c r="AB71" s="429">
        <f t="shared" si="72"/>
        <v>408.97500000000002</v>
      </c>
      <c r="AC71" s="429">
        <f t="shared" si="73"/>
        <v>0</v>
      </c>
      <c r="AD71" s="429">
        <f t="shared" si="74"/>
        <v>0</v>
      </c>
      <c r="AE71" s="429">
        <f t="shared" si="75"/>
        <v>22122.754500000003</v>
      </c>
      <c r="AF71" s="429">
        <f t="shared" si="76"/>
        <v>0</v>
      </c>
      <c r="AG71" s="429">
        <f t="shared" si="77"/>
        <v>0</v>
      </c>
      <c r="AH71" s="429">
        <f t="shared" si="78"/>
        <v>0</v>
      </c>
      <c r="AI71" s="429">
        <f t="shared" si="79"/>
        <v>0</v>
      </c>
      <c r="AJ71" s="429">
        <f t="shared" si="80"/>
        <v>0</v>
      </c>
      <c r="AK71" s="429">
        <f t="shared" si="81"/>
        <v>819</v>
      </c>
      <c r="AL71" s="478">
        <f t="shared" si="57"/>
        <v>23350.729500000001</v>
      </c>
      <c r="AN71" s="46">
        <f t="shared" ref="AN71:AN109" si="83">+H71*0.05</f>
        <v>0</v>
      </c>
      <c r="AO71" s="46">
        <f t="shared" ref="AO71:AO109" si="84">+I71*0.05</f>
        <v>0</v>
      </c>
      <c r="AP71" s="46">
        <f t="shared" ref="AP71:AP109" si="85">+J71*0.05</f>
        <v>19.475000000000001</v>
      </c>
      <c r="AQ71" s="46">
        <f t="shared" ref="AQ71:AQ109" si="86">+K71*0.05</f>
        <v>0</v>
      </c>
      <c r="AR71" s="46">
        <f t="shared" ref="AR71:AR109" si="87">+L71*0.05</f>
        <v>0</v>
      </c>
      <c r="AS71" s="46">
        <f t="shared" ref="AS71:AS109" si="88">+M71*0.05</f>
        <v>1053.4645</v>
      </c>
      <c r="AT71" s="46">
        <f t="shared" ref="AT71:AT109" si="89">+N71*0.05</f>
        <v>0</v>
      </c>
      <c r="AU71" s="46">
        <f t="shared" ref="AU71:AU109" si="90">+O71*0.05</f>
        <v>0</v>
      </c>
      <c r="AV71" s="46">
        <f t="shared" ref="AV71:AV109" si="91">+P71*0.05</f>
        <v>0</v>
      </c>
      <c r="AW71" s="46">
        <f t="shared" ref="AW71:AW109" si="92">+Q71*0.05</f>
        <v>0</v>
      </c>
      <c r="AX71" s="46">
        <f t="shared" ref="AX71:AX109" si="93">+R71*0.05</f>
        <v>0</v>
      </c>
      <c r="AY71" s="46">
        <f t="shared" ref="AY71:AY109" si="94">+S71*0.05</f>
        <v>39</v>
      </c>
    </row>
    <row r="72" spans="1:51" s="46" customFormat="1" ht="15">
      <c r="A72" s="263"/>
      <c r="B72" s="263"/>
      <c r="C72" s="304">
        <v>899632.8899999999</v>
      </c>
      <c r="D72" s="325">
        <v>1008202.87</v>
      </c>
      <c r="E72" s="447">
        <f>462030.87+344967.5+274874.66</f>
        <v>1081873.03</v>
      </c>
      <c r="F72" s="326" t="s">
        <v>17</v>
      </c>
      <c r="G72" s="336"/>
      <c r="H72" s="328">
        <f>36551.81+54470.04+43402.43</f>
        <v>134424.28</v>
      </c>
      <c r="I72" s="325">
        <v>39166.620000000003</v>
      </c>
      <c r="J72" s="325">
        <f>39092.37+59859.19+47696.59</f>
        <v>146648.15</v>
      </c>
      <c r="K72" s="325">
        <v>38157.4</v>
      </c>
      <c r="L72" s="325">
        <f>39679.6+64628.47+51496.79</f>
        <v>155804.86000000002</v>
      </c>
      <c r="M72" s="325">
        <v>40142.870000000003</v>
      </c>
      <c r="N72" s="325">
        <f>38108.44+65052.75+51834.86</f>
        <v>154996.04999999999</v>
      </c>
      <c r="O72" s="325">
        <v>80966.399999999994</v>
      </c>
      <c r="P72" s="325">
        <f>42191.84+67583.92+53815.7</f>
        <v>163591.46</v>
      </c>
      <c r="Q72" s="325">
        <v>41245.24</v>
      </c>
      <c r="R72" s="325">
        <f>42694.96+67787.75+54083.87+6373.03</f>
        <v>170939.61</v>
      </c>
      <c r="S72" s="294">
        <v>40265.47</v>
      </c>
      <c r="T72" s="325"/>
      <c r="U72" s="294">
        <f t="shared" si="54"/>
        <v>1206348.4099999999</v>
      </c>
      <c r="V72" s="304">
        <v>1134829</v>
      </c>
      <c r="W72" s="297">
        <f t="shared" si="55"/>
        <v>71519.409999999916</v>
      </c>
      <c r="X72" s="413"/>
      <c r="Y72" s="260"/>
      <c r="Z72" s="429">
        <f>+H72+AN72+18000</f>
        <v>159145.49400000001</v>
      </c>
      <c r="AA72" s="429">
        <f t="shared" si="71"/>
        <v>41124.951000000001</v>
      </c>
      <c r="AB72" s="429">
        <f t="shared" si="72"/>
        <v>153980.5575</v>
      </c>
      <c r="AC72" s="429">
        <f t="shared" si="73"/>
        <v>40065.270000000004</v>
      </c>
      <c r="AD72" s="429">
        <f t="shared" si="74"/>
        <v>163595.103</v>
      </c>
      <c r="AE72" s="429">
        <f t="shared" si="75"/>
        <v>42150.013500000001</v>
      </c>
      <c r="AF72" s="429">
        <f t="shared" si="76"/>
        <v>162745.85249999998</v>
      </c>
      <c r="AG72" s="429">
        <f t="shared" si="77"/>
        <v>85014.720000000001</v>
      </c>
      <c r="AH72" s="429">
        <f t="shared" si="78"/>
        <v>171771.033</v>
      </c>
      <c r="AI72" s="429">
        <f t="shared" si="79"/>
        <v>43307.502</v>
      </c>
      <c r="AJ72" s="429">
        <f t="shared" si="80"/>
        <v>179486.59049999999</v>
      </c>
      <c r="AK72" s="429">
        <f t="shared" si="81"/>
        <v>42278.743500000004</v>
      </c>
      <c r="AL72" s="478">
        <f t="shared" si="57"/>
        <v>1284665.8305000002</v>
      </c>
      <c r="AN72" s="46">
        <f t="shared" si="83"/>
        <v>6721.2139999999999</v>
      </c>
      <c r="AO72" s="46">
        <f t="shared" si="84"/>
        <v>1958.3310000000001</v>
      </c>
      <c r="AP72" s="46">
        <f t="shared" si="85"/>
        <v>7332.4075000000003</v>
      </c>
      <c r="AQ72" s="46">
        <f t="shared" si="86"/>
        <v>1907.8700000000001</v>
      </c>
      <c r="AR72" s="46">
        <f t="shared" si="87"/>
        <v>7790.2430000000013</v>
      </c>
      <c r="AS72" s="46">
        <f t="shared" si="88"/>
        <v>2007.1435000000001</v>
      </c>
      <c r="AT72" s="46">
        <f t="shared" si="89"/>
        <v>7749.8024999999998</v>
      </c>
      <c r="AU72" s="46">
        <f t="shared" si="90"/>
        <v>4048.3199999999997</v>
      </c>
      <c r="AV72" s="46">
        <f t="shared" si="91"/>
        <v>8179.5730000000003</v>
      </c>
      <c r="AW72" s="46">
        <f t="shared" si="92"/>
        <v>2062.2620000000002</v>
      </c>
      <c r="AX72" s="46">
        <f t="shared" si="93"/>
        <v>8546.9804999999997</v>
      </c>
      <c r="AY72" s="46">
        <f t="shared" si="94"/>
        <v>2013.2735000000002</v>
      </c>
    </row>
    <row r="73" spans="1:51" s="46" customFormat="1" ht="15">
      <c r="A73" s="263"/>
      <c r="B73" s="263"/>
      <c r="C73" s="304">
        <v>7120</v>
      </c>
      <c r="D73" s="325">
        <v>10715</v>
      </c>
      <c r="E73" s="447"/>
      <c r="F73" s="326" t="s">
        <v>21</v>
      </c>
      <c r="G73" s="336"/>
      <c r="H73" s="328"/>
      <c r="I73" s="325"/>
      <c r="J73" s="325">
        <v>21191</v>
      </c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294">
        <f t="shared" si="54"/>
        <v>21191</v>
      </c>
      <c r="V73" s="304">
        <v>10715</v>
      </c>
      <c r="W73" s="297">
        <f t="shared" si="55"/>
        <v>10476</v>
      </c>
      <c r="X73" s="413"/>
      <c r="Y73" s="260"/>
      <c r="Z73" s="429">
        <f t="shared" si="70"/>
        <v>0</v>
      </c>
      <c r="AA73" s="429">
        <f t="shared" si="71"/>
        <v>0</v>
      </c>
      <c r="AB73" s="429">
        <f t="shared" si="72"/>
        <v>22250.55</v>
      </c>
      <c r="AC73" s="429">
        <f t="shared" si="73"/>
        <v>0</v>
      </c>
      <c r="AD73" s="429">
        <f t="shared" si="74"/>
        <v>0</v>
      </c>
      <c r="AE73" s="429">
        <f t="shared" si="75"/>
        <v>0</v>
      </c>
      <c r="AF73" s="429">
        <f t="shared" si="76"/>
        <v>0</v>
      </c>
      <c r="AG73" s="429">
        <f t="shared" si="77"/>
        <v>0</v>
      </c>
      <c r="AH73" s="429">
        <f t="shared" si="78"/>
        <v>0</v>
      </c>
      <c r="AI73" s="429">
        <f t="shared" si="79"/>
        <v>0</v>
      </c>
      <c r="AJ73" s="429">
        <f t="shared" si="80"/>
        <v>0</v>
      </c>
      <c r="AK73" s="429">
        <f t="shared" si="81"/>
        <v>0</v>
      </c>
      <c r="AL73" s="478">
        <f t="shared" si="57"/>
        <v>22250.55</v>
      </c>
      <c r="AN73" s="46">
        <f t="shared" si="83"/>
        <v>0</v>
      </c>
      <c r="AO73" s="46">
        <f t="shared" si="84"/>
        <v>0</v>
      </c>
      <c r="AP73" s="46">
        <f t="shared" si="85"/>
        <v>1059.55</v>
      </c>
      <c r="AQ73" s="46">
        <f t="shared" si="86"/>
        <v>0</v>
      </c>
      <c r="AR73" s="46">
        <f t="shared" si="87"/>
        <v>0</v>
      </c>
      <c r="AS73" s="46">
        <f t="shared" si="88"/>
        <v>0</v>
      </c>
      <c r="AT73" s="46">
        <f t="shared" si="89"/>
        <v>0</v>
      </c>
      <c r="AU73" s="46">
        <f t="shared" si="90"/>
        <v>0</v>
      </c>
      <c r="AV73" s="46">
        <f t="shared" si="91"/>
        <v>0</v>
      </c>
      <c r="AW73" s="46">
        <f t="shared" si="92"/>
        <v>0</v>
      </c>
      <c r="AX73" s="46">
        <f t="shared" si="93"/>
        <v>0</v>
      </c>
      <c r="AY73" s="46">
        <f t="shared" si="94"/>
        <v>0</v>
      </c>
    </row>
    <row r="74" spans="1:51" s="46" customFormat="1" ht="15">
      <c r="A74" s="263"/>
      <c r="B74" s="263"/>
      <c r="C74" s="304">
        <v>0</v>
      </c>
      <c r="D74" s="325">
        <v>0</v>
      </c>
      <c r="E74" s="447">
        <v>1350</v>
      </c>
      <c r="F74" s="326" t="s">
        <v>53</v>
      </c>
      <c r="G74" s="336"/>
      <c r="H74" s="328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294">
        <f t="shared" si="54"/>
        <v>0</v>
      </c>
      <c r="V74" s="304"/>
      <c r="W74" s="297">
        <f t="shared" si="55"/>
        <v>0</v>
      </c>
      <c r="X74" s="413"/>
      <c r="Y74" s="260"/>
      <c r="Z74" s="429">
        <f t="shared" si="70"/>
        <v>0</v>
      </c>
      <c r="AA74" s="429">
        <f t="shared" si="71"/>
        <v>0</v>
      </c>
      <c r="AB74" s="429">
        <f t="shared" si="72"/>
        <v>0</v>
      </c>
      <c r="AC74" s="429">
        <f t="shared" si="73"/>
        <v>0</v>
      </c>
      <c r="AD74" s="429">
        <f t="shared" si="74"/>
        <v>0</v>
      </c>
      <c r="AE74" s="429">
        <f t="shared" si="75"/>
        <v>0</v>
      </c>
      <c r="AF74" s="429">
        <f t="shared" si="76"/>
        <v>0</v>
      </c>
      <c r="AG74" s="429">
        <f t="shared" si="77"/>
        <v>0</v>
      </c>
      <c r="AH74" s="429">
        <f t="shared" si="78"/>
        <v>0</v>
      </c>
      <c r="AI74" s="429">
        <f t="shared" si="79"/>
        <v>0</v>
      </c>
      <c r="AJ74" s="429">
        <f t="shared" si="80"/>
        <v>0</v>
      </c>
      <c r="AK74" s="429">
        <f t="shared" si="81"/>
        <v>0</v>
      </c>
      <c r="AL74" s="478">
        <f t="shared" si="57"/>
        <v>0</v>
      </c>
      <c r="AN74" s="46">
        <f t="shared" si="83"/>
        <v>0</v>
      </c>
      <c r="AO74" s="46">
        <f t="shared" si="84"/>
        <v>0</v>
      </c>
      <c r="AP74" s="46">
        <f t="shared" si="85"/>
        <v>0</v>
      </c>
      <c r="AQ74" s="46">
        <f t="shared" si="86"/>
        <v>0</v>
      </c>
      <c r="AR74" s="46">
        <f t="shared" si="87"/>
        <v>0</v>
      </c>
      <c r="AS74" s="46">
        <f t="shared" si="88"/>
        <v>0</v>
      </c>
      <c r="AT74" s="46">
        <f t="shared" si="89"/>
        <v>0</v>
      </c>
      <c r="AU74" s="46">
        <f t="shared" si="90"/>
        <v>0</v>
      </c>
      <c r="AV74" s="46">
        <f t="shared" si="91"/>
        <v>0</v>
      </c>
      <c r="AW74" s="46">
        <f t="shared" si="92"/>
        <v>0</v>
      </c>
      <c r="AX74" s="46">
        <f t="shared" si="93"/>
        <v>0</v>
      </c>
      <c r="AY74" s="46">
        <f t="shared" si="94"/>
        <v>0</v>
      </c>
    </row>
    <row r="75" spans="1:51" s="46" customFormat="1" ht="15">
      <c r="A75" s="263"/>
      <c r="B75" s="263"/>
      <c r="C75" s="304">
        <v>98434.5</v>
      </c>
      <c r="D75" s="325">
        <v>102817.8</v>
      </c>
      <c r="E75" s="447">
        <v>103871.03999999999</v>
      </c>
      <c r="F75" s="326" t="s">
        <v>22</v>
      </c>
      <c r="G75" s="336"/>
      <c r="H75" s="328">
        <v>7947.37</v>
      </c>
      <c r="I75" s="325">
        <v>550.26</v>
      </c>
      <c r="J75" s="325">
        <v>16988.349999999999</v>
      </c>
      <c r="K75" s="325">
        <v>555.57000000000005</v>
      </c>
      <c r="L75" s="325">
        <v>597.83000000000004</v>
      </c>
      <c r="M75" s="325">
        <v>21312.400000000001</v>
      </c>
      <c r="N75" s="325"/>
      <c r="O75" s="325">
        <v>6885.32</v>
      </c>
      <c r="P75" s="325">
        <v>12086.5</v>
      </c>
      <c r="Q75" s="325">
        <v>695.65</v>
      </c>
      <c r="R75" s="325">
        <v>6083.18</v>
      </c>
      <c r="S75" s="294">
        <v>12555.07</v>
      </c>
      <c r="T75" s="325"/>
      <c r="U75" s="294">
        <f t="shared" si="54"/>
        <v>86257.5</v>
      </c>
      <c r="V75" s="304">
        <v>91642</v>
      </c>
      <c r="W75" s="297">
        <f t="shared" si="55"/>
        <v>-5384.5</v>
      </c>
      <c r="X75" s="413"/>
      <c r="Y75" s="424"/>
      <c r="Z75" s="429">
        <f t="shared" si="70"/>
        <v>8344.7384999999995</v>
      </c>
      <c r="AA75" s="429">
        <f t="shared" si="71"/>
        <v>577.77300000000002</v>
      </c>
      <c r="AB75" s="429">
        <f t="shared" si="72"/>
        <v>17837.767499999998</v>
      </c>
      <c r="AC75" s="429">
        <f t="shared" si="73"/>
        <v>583.34850000000006</v>
      </c>
      <c r="AD75" s="429">
        <f t="shared" si="74"/>
        <v>627.72149999999999</v>
      </c>
      <c r="AE75" s="429">
        <f t="shared" si="75"/>
        <v>22378.02</v>
      </c>
      <c r="AF75" s="429">
        <f t="shared" si="76"/>
        <v>0</v>
      </c>
      <c r="AG75" s="429">
        <f t="shared" si="77"/>
        <v>7229.5859999999993</v>
      </c>
      <c r="AH75" s="429">
        <f t="shared" si="78"/>
        <v>12690.825000000001</v>
      </c>
      <c r="AI75" s="429">
        <f t="shared" si="79"/>
        <v>730.4325</v>
      </c>
      <c r="AJ75" s="429">
        <f t="shared" si="80"/>
        <v>6387.3389999999999</v>
      </c>
      <c r="AK75" s="429">
        <f t="shared" si="81"/>
        <v>13182.8235</v>
      </c>
      <c r="AL75" s="478">
        <f t="shared" si="57"/>
        <v>90570.374999999971</v>
      </c>
      <c r="AN75" s="46">
        <f t="shared" si="83"/>
        <v>397.36850000000004</v>
      </c>
      <c r="AO75" s="46">
        <f t="shared" si="84"/>
        <v>27.513000000000002</v>
      </c>
      <c r="AP75" s="46">
        <f t="shared" si="85"/>
        <v>849.41750000000002</v>
      </c>
      <c r="AQ75" s="46">
        <f t="shared" si="86"/>
        <v>27.778500000000005</v>
      </c>
      <c r="AR75" s="46">
        <f t="shared" si="87"/>
        <v>29.891500000000004</v>
      </c>
      <c r="AS75" s="46">
        <f t="shared" si="88"/>
        <v>1065.6200000000001</v>
      </c>
      <c r="AT75" s="46">
        <f t="shared" si="89"/>
        <v>0</v>
      </c>
      <c r="AU75" s="46">
        <f t="shared" si="90"/>
        <v>344.26600000000002</v>
      </c>
      <c r="AV75" s="46">
        <f t="shared" si="91"/>
        <v>604.32500000000005</v>
      </c>
      <c r="AW75" s="46">
        <f t="shared" si="92"/>
        <v>34.782499999999999</v>
      </c>
      <c r="AX75" s="46">
        <f t="shared" si="93"/>
        <v>304.15900000000005</v>
      </c>
      <c r="AY75" s="46">
        <f t="shared" si="94"/>
        <v>627.75350000000003</v>
      </c>
    </row>
    <row r="76" spans="1:51" s="46" customFormat="1" ht="15">
      <c r="A76" s="263"/>
      <c r="B76" s="263"/>
      <c r="C76" s="304">
        <v>1105322.0359999998</v>
      </c>
      <c r="D76" s="325">
        <v>1271523.4000000001</v>
      </c>
      <c r="E76" s="447">
        <v>1461401.49</v>
      </c>
      <c r="F76" s="326" t="s">
        <v>23</v>
      </c>
      <c r="G76" s="336"/>
      <c r="H76" s="328">
        <v>101687.34</v>
      </c>
      <c r="I76" s="325">
        <v>85760.06</v>
      </c>
      <c r="J76" s="325">
        <v>86185.11</v>
      </c>
      <c r="K76" s="325">
        <v>143420</v>
      </c>
      <c r="L76" s="325">
        <v>138349.09</v>
      </c>
      <c r="M76" s="325">
        <v>159612.25</v>
      </c>
      <c r="N76" s="325">
        <v>162564.35999999999</v>
      </c>
      <c r="O76" s="325">
        <v>122732.08</v>
      </c>
      <c r="P76" s="325">
        <v>126568.67</v>
      </c>
      <c r="Q76" s="325">
        <v>277823.63</v>
      </c>
      <c r="R76" s="325">
        <v>124447.54</v>
      </c>
      <c r="S76" s="294">
        <v>104688.85</v>
      </c>
      <c r="T76" s="325"/>
      <c r="U76" s="294">
        <f t="shared" si="54"/>
        <v>1633838.98</v>
      </c>
      <c r="V76" s="304">
        <v>1909914</v>
      </c>
      <c r="W76" s="297">
        <f t="shared" si="55"/>
        <v>-276075.02</v>
      </c>
      <c r="X76" s="413"/>
      <c r="Y76" s="424"/>
      <c r="Z76" s="429">
        <f t="shared" si="70"/>
        <v>106771.70699999999</v>
      </c>
      <c r="AA76" s="429">
        <f t="shared" si="71"/>
        <v>90048.062999999995</v>
      </c>
      <c r="AB76" s="429">
        <f t="shared" si="72"/>
        <v>90494.3655</v>
      </c>
      <c r="AC76" s="429">
        <f t="shared" si="73"/>
        <v>150591</v>
      </c>
      <c r="AD76" s="429">
        <f t="shared" si="74"/>
        <v>145266.54449999999</v>
      </c>
      <c r="AE76" s="429">
        <f t="shared" si="75"/>
        <v>167592.86249999999</v>
      </c>
      <c r="AF76" s="429">
        <f t="shared" si="76"/>
        <v>170692.57799999998</v>
      </c>
      <c r="AG76" s="429">
        <f t="shared" si="77"/>
        <v>128868.68400000001</v>
      </c>
      <c r="AH76" s="429">
        <f t="shared" si="78"/>
        <v>132897.1035</v>
      </c>
      <c r="AI76" s="429">
        <f t="shared" si="79"/>
        <v>291714.81150000001</v>
      </c>
      <c r="AJ76" s="429">
        <f t="shared" si="80"/>
        <v>130669.91699999999</v>
      </c>
      <c r="AK76" s="429">
        <f t="shared" si="81"/>
        <v>109923.29250000001</v>
      </c>
      <c r="AL76" s="478">
        <f t="shared" si="57"/>
        <v>1715530.929</v>
      </c>
      <c r="AN76" s="46">
        <f t="shared" si="83"/>
        <v>5084.3670000000002</v>
      </c>
      <c r="AO76" s="46">
        <f t="shared" si="84"/>
        <v>4288.0029999999997</v>
      </c>
      <c r="AP76" s="46">
        <f t="shared" si="85"/>
        <v>4309.2555000000002</v>
      </c>
      <c r="AQ76" s="46">
        <f t="shared" si="86"/>
        <v>7171</v>
      </c>
      <c r="AR76" s="46">
        <f t="shared" si="87"/>
        <v>6917.4544999999998</v>
      </c>
      <c r="AS76" s="46">
        <f t="shared" si="88"/>
        <v>7980.6125000000002</v>
      </c>
      <c r="AT76" s="46">
        <f t="shared" si="89"/>
        <v>8128.2179999999998</v>
      </c>
      <c r="AU76" s="46">
        <f t="shared" si="90"/>
        <v>6136.6040000000003</v>
      </c>
      <c r="AV76" s="46">
        <f t="shared" si="91"/>
        <v>6328.4335000000001</v>
      </c>
      <c r="AW76" s="46">
        <f t="shared" si="92"/>
        <v>13891.181500000001</v>
      </c>
      <c r="AX76" s="46">
        <f t="shared" si="93"/>
        <v>6222.3770000000004</v>
      </c>
      <c r="AY76" s="46">
        <f t="shared" si="94"/>
        <v>5234.442500000001</v>
      </c>
    </row>
    <row r="77" spans="1:51" s="46" customFormat="1" ht="15">
      <c r="A77" s="263"/>
      <c r="B77" s="263"/>
      <c r="C77" s="304">
        <v>40248.020000000004</v>
      </c>
      <c r="D77" s="325">
        <v>49169.63</v>
      </c>
      <c r="E77" s="447">
        <v>136293.75</v>
      </c>
      <c r="F77" s="326" t="s">
        <v>24</v>
      </c>
      <c r="G77" s="336"/>
      <c r="H77" s="328">
        <v>1100</v>
      </c>
      <c r="I77" s="325">
        <v>14799.16</v>
      </c>
      <c r="J77" s="325">
        <v>30553.599999999999</v>
      </c>
      <c r="K77" s="325">
        <v>435</v>
      </c>
      <c r="L77" s="325">
        <v>17094.04</v>
      </c>
      <c r="M77" s="325">
        <v>15659.3</v>
      </c>
      <c r="N77" s="325">
        <v>16289.56</v>
      </c>
      <c r="O77" s="325">
        <v>42466.04</v>
      </c>
      <c r="P77" s="325">
        <v>420</v>
      </c>
      <c r="Q77" s="325">
        <v>47727.9</v>
      </c>
      <c r="R77" s="325">
        <v>8991.26</v>
      </c>
      <c r="S77" s="294">
        <v>3617.19</v>
      </c>
      <c r="T77" s="325"/>
      <c r="U77" s="294">
        <f t="shared" si="54"/>
        <v>199153.05</v>
      </c>
      <c r="V77" s="304">
        <v>115149</v>
      </c>
      <c r="W77" s="297">
        <f t="shared" si="55"/>
        <v>84004.049999999988</v>
      </c>
      <c r="X77" s="413"/>
      <c r="Y77" s="424"/>
      <c r="Z77" s="429">
        <f t="shared" si="70"/>
        <v>1155</v>
      </c>
      <c r="AA77" s="429">
        <f t="shared" si="71"/>
        <v>15539.118</v>
      </c>
      <c r="AB77" s="429">
        <f t="shared" si="72"/>
        <v>32081.279999999999</v>
      </c>
      <c r="AC77" s="429">
        <f t="shared" si="73"/>
        <v>456.75</v>
      </c>
      <c r="AD77" s="429">
        <f t="shared" si="74"/>
        <v>17948.742000000002</v>
      </c>
      <c r="AE77" s="429">
        <f t="shared" si="75"/>
        <v>16442.264999999999</v>
      </c>
      <c r="AF77" s="429">
        <f t="shared" si="76"/>
        <v>17104.038</v>
      </c>
      <c r="AG77" s="429">
        <f t="shared" si="77"/>
        <v>44589.342000000004</v>
      </c>
      <c r="AH77" s="429">
        <f t="shared" si="78"/>
        <v>441</v>
      </c>
      <c r="AI77" s="429">
        <f t="shared" si="79"/>
        <v>50114.294999999998</v>
      </c>
      <c r="AJ77" s="429">
        <f t="shared" si="80"/>
        <v>9440.8230000000003</v>
      </c>
      <c r="AK77" s="429">
        <f t="shared" si="81"/>
        <v>3798.0495000000001</v>
      </c>
      <c r="AL77" s="478">
        <f t="shared" si="57"/>
        <v>209110.70250000001</v>
      </c>
      <c r="AN77" s="46">
        <f t="shared" si="83"/>
        <v>55</v>
      </c>
      <c r="AO77" s="46">
        <f t="shared" si="84"/>
        <v>739.95800000000008</v>
      </c>
      <c r="AP77" s="46">
        <f t="shared" si="85"/>
        <v>1527.68</v>
      </c>
      <c r="AQ77" s="46">
        <f t="shared" si="86"/>
        <v>21.75</v>
      </c>
      <c r="AR77" s="46">
        <f t="shared" si="87"/>
        <v>854.70200000000011</v>
      </c>
      <c r="AS77" s="46">
        <f t="shared" si="88"/>
        <v>782.96500000000003</v>
      </c>
      <c r="AT77" s="46">
        <f t="shared" si="89"/>
        <v>814.47800000000007</v>
      </c>
      <c r="AU77" s="46">
        <f t="shared" si="90"/>
        <v>2123.3020000000001</v>
      </c>
      <c r="AV77" s="46">
        <f t="shared" si="91"/>
        <v>21</v>
      </c>
      <c r="AW77" s="46">
        <f t="shared" si="92"/>
        <v>2386.395</v>
      </c>
      <c r="AX77" s="46">
        <f t="shared" si="93"/>
        <v>449.56300000000005</v>
      </c>
      <c r="AY77" s="46">
        <f t="shared" si="94"/>
        <v>180.85950000000003</v>
      </c>
    </row>
    <row r="78" spans="1:51" s="46" customFormat="1" ht="15">
      <c r="A78" s="263"/>
      <c r="B78" s="263"/>
      <c r="C78" s="304">
        <v>24440.65</v>
      </c>
      <c r="D78" s="325">
        <v>38244.160000000003</v>
      </c>
      <c r="E78" s="447">
        <v>42188.73</v>
      </c>
      <c r="F78" s="326" t="s">
        <v>25</v>
      </c>
      <c r="G78" s="336"/>
      <c r="H78" s="328">
        <v>3060.77</v>
      </c>
      <c r="I78" s="325">
        <v>5596.58</v>
      </c>
      <c r="J78" s="325">
        <v>4019.11</v>
      </c>
      <c r="K78" s="325">
        <v>5257.28</v>
      </c>
      <c r="L78" s="325">
        <v>5295.78</v>
      </c>
      <c r="M78" s="325">
        <v>7953.8</v>
      </c>
      <c r="N78" s="325">
        <v>12706.12</v>
      </c>
      <c r="O78" s="325">
        <v>6404.65</v>
      </c>
      <c r="P78" s="325">
        <v>3803.45</v>
      </c>
      <c r="Q78" s="325">
        <v>3052.03</v>
      </c>
      <c r="R78" s="325">
        <v>8775.82</v>
      </c>
      <c r="S78" s="294">
        <v>3945.67</v>
      </c>
      <c r="T78" s="325"/>
      <c r="U78" s="294">
        <f t="shared" si="54"/>
        <v>69871.06</v>
      </c>
      <c r="V78" s="304">
        <v>44556</v>
      </c>
      <c r="W78" s="297">
        <f t="shared" si="55"/>
        <v>25315.059999999998</v>
      </c>
      <c r="X78" s="413"/>
      <c r="Y78" s="424"/>
      <c r="Z78" s="429">
        <f t="shared" si="70"/>
        <v>3213.8085000000001</v>
      </c>
      <c r="AA78" s="429">
        <f t="shared" si="71"/>
        <v>5876.4089999999997</v>
      </c>
      <c r="AB78" s="429">
        <f t="shared" si="72"/>
        <v>4220.0655000000006</v>
      </c>
      <c r="AC78" s="429">
        <f t="shared" si="73"/>
        <v>5520.1439999999993</v>
      </c>
      <c r="AD78" s="429">
        <f t="shared" si="74"/>
        <v>5560.5689999999995</v>
      </c>
      <c r="AE78" s="429">
        <f t="shared" si="75"/>
        <v>8351.49</v>
      </c>
      <c r="AF78" s="429">
        <f t="shared" si="76"/>
        <v>13341.426000000001</v>
      </c>
      <c r="AG78" s="429">
        <f t="shared" si="77"/>
        <v>6724.8824999999997</v>
      </c>
      <c r="AH78" s="429">
        <f t="shared" si="78"/>
        <v>3993.6224999999999</v>
      </c>
      <c r="AI78" s="429">
        <f t="shared" si="79"/>
        <v>3204.6315000000004</v>
      </c>
      <c r="AJ78" s="429">
        <f t="shared" si="80"/>
        <v>9214.610999999999</v>
      </c>
      <c r="AK78" s="429">
        <f t="shared" si="81"/>
        <v>4142.9534999999996</v>
      </c>
      <c r="AL78" s="478">
        <f t="shared" si="57"/>
        <v>73364.612999999998</v>
      </c>
      <c r="AN78" s="46">
        <f t="shared" si="83"/>
        <v>153.0385</v>
      </c>
      <c r="AO78" s="46">
        <f t="shared" si="84"/>
        <v>279.82900000000001</v>
      </c>
      <c r="AP78" s="46">
        <f t="shared" si="85"/>
        <v>200.95550000000003</v>
      </c>
      <c r="AQ78" s="46">
        <f t="shared" si="86"/>
        <v>262.86399999999998</v>
      </c>
      <c r="AR78" s="46">
        <f t="shared" si="87"/>
        <v>264.78899999999999</v>
      </c>
      <c r="AS78" s="46">
        <f t="shared" si="88"/>
        <v>397.69000000000005</v>
      </c>
      <c r="AT78" s="46">
        <f t="shared" si="89"/>
        <v>635.30600000000004</v>
      </c>
      <c r="AU78" s="46">
        <f t="shared" si="90"/>
        <v>320.23250000000002</v>
      </c>
      <c r="AV78" s="46">
        <f t="shared" si="91"/>
        <v>190.17250000000001</v>
      </c>
      <c r="AW78" s="46">
        <f t="shared" si="92"/>
        <v>152.60150000000002</v>
      </c>
      <c r="AX78" s="46">
        <f t="shared" si="93"/>
        <v>438.791</v>
      </c>
      <c r="AY78" s="46">
        <f t="shared" si="94"/>
        <v>197.2835</v>
      </c>
    </row>
    <row r="79" spans="1:51" s="46" customFormat="1" ht="15">
      <c r="A79" s="263"/>
      <c r="B79" s="263"/>
      <c r="C79" s="304">
        <v>0</v>
      </c>
      <c r="D79" s="325">
        <v>4545.82</v>
      </c>
      <c r="E79" s="447">
        <v>245.07</v>
      </c>
      <c r="F79" s="326" t="s">
        <v>26</v>
      </c>
      <c r="G79" s="336"/>
      <c r="H79" s="328"/>
      <c r="I79" s="325"/>
      <c r="J79" s="325">
        <v>27.07</v>
      </c>
      <c r="K79" s="325"/>
      <c r="L79" s="325"/>
      <c r="M79" s="325"/>
      <c r="N79" s="325"/>
      <c r="O79" s="325"/>
      <c r="P79" s="325"/>
      <c r="Q79" s="325"/>
      <c r="R79" s="325"/>
      <c r="S79" s="294"/>
      <c r="T79" s="325"/>
      <c r="U79" s="294">
        <f t="shared" si="54"/>
        <v>27.07</v>
      </c>
      <c r="V79" s="304"/>
      <c r="W79" s="297">
        <f t="shared" si="55"/>
        <v>27.07</v>
      </c>
      <c r="X79" s="413"/>
      <c r="Y79" s="424"/>
      <c r="Z79" s="429">
        <f t="shared" si="70"/>
        <v>0</v>
      </c>
      <c r="AA79" s="429">
        <f t="shared" si="71"/>
        <v>0</v>
      </c>
      <c r="AB79" s="429">
        <f t="shared" si="72"/>
        <v>28.423500000000001</v>
      </c>
      <c r="AC79" s="429">
        <f t="shared" si="73"/>
        <v>0</v>
      </c>
      <c r="AD79" s="429">
        <f t="shared" si="74"/>
        <v>0</v>
      </c>
      <c r="AE79" s="429">
        <f t="shared" si="75"/>
        <v>0</v>
      </c>
      <c r="AF79" s="429">
        <f t="shared" si="76"/>
        <v>0</v>
      </c>
      <c r="AG79" s="429">
        <f t="shared" si="77"/>
        <v>0</v>
      </c>
      <c r="AH79" s="429">
        <f t="shared" si="78"/>
        <v>0</v>
      </c>
      <c r="AI79" s="429">
        <f t="shared" si="79"/>
        <v>0</v>
      </c>
      <c r="AJ79" s="429">
        <f t="shared" si="80"/>
        <v>0</v>
      </c>
      <c r="AK79" s="429">
        <f t="shared" si="81"/>
        <v>0</v>
      </c>
      <c r="AL79" s="478">
        <f t="shared" si="57"/>
        <v>28.423500000000001</v>
      </c>
      <c r="AN79" s="46">
        <f t="shared" si="83"/>
        <v>0</v>
      </c>
      <c r="AO79" s="46">
        <f t="shared" si="84"/>
        <v>0</v>
      </c>
      <c r="AP79" s="46">
        <f t="shared" si="85"/>
        <v>1.3535000000000001</v>
      </c>
      <c r="AQ79" s="46">
        <f t="shared" si="86"/>
        <v>0</v>
      </c>
      <c r="AR79" s="46">
        <f t="shared" si="87"/>
        <v>0</v>
      </c>
      <c r="AS79" s="46">
        <f t="shared" si="88"/>
        <v>0</v>
      </c>
      <c r="AT79" s="46">
        <f t="shared" si="89"/>
        <v>0</v>
      </c>
      <c r="AU79" s="46">
        <f t="shared" si="90"/>
        <v>0</v>
      </c>
      <c r="AV79" s="46">
        <f t="shared" si="91"/>
        <v>0</v>
      </c>
      <c r="AW79" s="46">
        <f t="shared" si="92"/>
        <v>0</v>
      </c>
      <c r="AX79" s="46">
        <f t="shared" si="93"/>
        <v>0</v>
      </c>
      <c r="AY79" s="46">
        <f t="shared" si="94"/>
        <v>0</v>
      </c>
    </row>
    <row r="80" spans="1:51" s="46" customFormat="1" ht="15">
      <c r="A80" s="263"/>
      <c r="B80" s="263"/>
      <c r="C80" s="304">
        <v>32085.920000000002</v>
      </c>
      <c r="D80" s="325">
        <v>5323.5</v>
      </c>
      <c r="E80" s="447">
        <v>12891.24</v>
      </c>
      <c r="F80" s="326" t="s">
        <v>27</v>
      </c>
      <c r="G80" s="336"/>
      <c r="H80" s="328">
        <v>5110.72</v>
      </c>
      <c r="I80" s="325"/>
      <c r="J80" s="325">
        <v>5170.47</v>
      </c>
      <c r="K80" s="325">
        <v>268.86</v>
      </c>
      <c r="L80" s="325">
        <v>350.4</v>
      </c>
      <c r="M80" s="325">
        <v>5193.79</v>
      </c>
      <c r="N80" s="325"/>
      <c r="O80" s="325">
        <v>5410.01</v>
      </c>
      <c r="P80" s="325">
        <v>5371.34</v>
      </c>
      <c r="Q80" s="325"/>
      <c r="R80" s="325"/>
      <c r="S80" s="294">
        <v>5158.47</v>
      </c>
      <c r="T80" s="325"/>
      <c r="U80" s="294">
        <f t="shared" si="54"/>
        <v>32034.06</v>
      </c>
      <c r="V80" s="304">
        <v>15134</v>
      </c>
      <c r="W80" s="297">
        <f t="shared" si="55"/>
        <v>16900.060000000001</v>
      </c>
      <c r="X80" s="413"/>
      <c r="Y80" s="424"/>
      <c r="Z80" s="429">
        <f t="shared" si="70"/>
        <v>5366.2560000000003</v>
      </c>
      <c r="AA80" s="429">
        <f t="shared" si="71"/>
        <v>0</v>
      </c>
      <c r="AB80" s="429">
        <f t="shared" si="72"/>
        <v>5428.9935000000005</v>
      </c>
      <c r="AC80" s="429">
        <f t="shared" si="73"/>
        <v>282.303</v>
      </c>
      <c r="AD80" s="429">
        <f t="shared" si="74"/>
        <v>367.91999999999996</v>
      </c>
      <c r="AE80" s="429">
        <f t="shared" si="75"/>
        <v>5453.4795000000004</v>
      </c>
      <c r="AF80" s="429">
        <f t="shared" si="76"/>
        <v>0</v>
      </c>
      <c r="AG80" s="429">
        <f t="shared" si="77"/>
        <v>5680.5105000000003</v>
      </c>
      <c r="AH80" s="429">
        <f t="shared" si="78"/>
        <v>5639.9070000000002</v>
      </c>
      <c r="AI80" s="429">
        <f t="shared" si="79"/>
        <v>0</v>
      </c>
      <c r="AJ80" s="429">
        <f t="shared" si="80"/>
        <v>0</v>
      </c>
      <c r="AK80" s="429">
        <f t="shared" si="81"/>
        <v>5416.3935000000001</v>
      </c>
      <c r="AL80" s="478">
        <f t="shared" si="57"/>
        <v>33635.762999999999</v>
      </c>
      <c r="AN80" s="46">
        <f t="shared" si="83"/>
        <v>255.53600000000003</v>
      </c>
      <c r="AO80" s="46">
        <f t="shared" si="84"/>
        <v>0</v>
      </c>
      <c r="AP80" s="46">
        <f t="shared" si="85"/>
        <v>258.52350000000001</v>
      </c>
      <c r="AQ80" s="46">
        <f t="shared" si="86"/>
        <v>13.443000000000001</v>
      </c>
      <c r="AR80" s="46">
        <f t="shared" si="87"/>
        <v>17.52</v>
      </c>
      <c r="AS80" s="46">
        <f t="shared" si="88"/>
        <v>259.68950000000001</v>
      </c>
      <c r="AT80" s="46">
        <f t="shared" si="89"/>
        <v>0</v>
      </c>
      <c r="AU80" s="46">
        <f t="shared" si="90"/>
        <v>270.50050000000005</v>
      </c>
      <c r="AV80" s="46">
        <f t="shared" si="91"/>
        <v>268.56700000000001</v>
      </c>
      <c r="AW80" s="46">
        <f t="shared" si="92"/>
        <v>0</v>
      </c>
      <c r="AX80" s="46">
        <f t="shared" si="93"/>
        <v>0</v>
      </c>
      <c r="AY80" s="46">
        <f t="shared" si="94"/>
        <v>257.92350000000005</v>
      </c>
    </row>
    <row r="81" spans="1:51" s="46" customFormat="1" ht="15">
      <c r="A81" s="263"/>
      <c r="B81" s="263"/>
      <c r="C81" s="304">
        <v>88440.65</v>
      </c>
      <c r="D81" s="325">
        <v>69158.22</v>
      </c>
      <c r="E81" s="447">
        <v>86623.46</v>
      </c>
      <c r="F81" s="326" t="s">
        <v>28</v>
      </c>
      <c r="G81" s="336"/>
      <c r="H81" s="328">
        <v>835.3</v>
      </c>
      <c r="I81" s="325">
        <v>1368.57</v>
      </c>
      <c r="J81" s="325">
        <v>3491.84</v>
      </c>
      <c r="K81" s="325">
        <v>852.1</v>
      </c>
      <c r="L81" s="325">
        <v>4090.15</v>
      </c>
      <c r="M81" s="325">
        <v>4132.5</v>
      </c>
      <c r="N81" s="325">
        <v>896.28</v>
      </c>
      <c r="O81" s="325">
        <v>1011.21</v>
      </c>
      <c r="P81" s="325">
        <v>1484.1</v>
      </c>
      <c r="Q81" s="325">
        <v>1689.5</v>
      </c>
      <c r="R81" s="325">
        <v>1350</v>
      </c>
      <c r="S81" s="294">
        <v>837.35</v>
      </c>
      <c r="T81" s="325"/>
      <c r="U81" s="294">
        <f t="shared" si="54"/>
        <v>22038.899999999998</v>
      </c>
      <c r="V81" s="304">
        <v>48578</v>
      </c>
      <c r="W81" s="297">
        <f t="shared" si="55"/>
        <v>-26539.100000000002</v>
      </c>
      <c r="X81" s="413"/>
      <c r="Y81" s="424"/>
      <c r="Z81" s="429">
        <f t="shared" si="70"/>
        <v>877.06499999999994</v>
      </c>
      <c r="AA81" s="429">
        <f t="shared" si="71"/>
        <v>1436.9984999999999</v>
      </c>
      <c r="AB81" s="429">
        <f t="shared" si="72"/>
        <v>3666.4320000000002</v>
      </c>
      <c r="AC81" s="429">
        <f t="shared" si="73"/>
        <v>894.70500000000004</v>
      </c>
      <c r="AD81" s="429">
        <f t="shared" si="74"/>
        <v>4294.6575000000003</v>
      </c>
      <c r="AE81" s="429">
        <f t="shared" si="75"/>
        <v>4339.125</v>
      </c>
      <c r="AF81" s="429">
        <f t="shared" si="76"/>
        <v>941.09399999999994</v>
      </c>
      <c r="AG81" s="429">
        <f t="shared" si="77"/>
        <v>1061.7705000000001</v>
      </c>
      <c r="AH81" s="429">
        <f t="shared" si="78"/>
        <v>1558.3049999999998</v>
      </c>
      <c r="AI81" s="429">
        <f t="shared" si="79"/>
        <v>1773.9749999999999</v>
      </c>
      <c r="AJ81" s="429">
        <f t="shared" si="80"/>
        <v>1417.5</v>
      </c>
      <c r="AK81" s="429">
        <f t="shared" si="81"/>
        <v>879.21749999999997</v>
      </c>
      <c r="AL81" s="478">
        <f t="shared" si="57"/>
        <v>23140.844999999998</v>
      </c>
      <c r="AN81" s="46">
        <f t="shared" si="83"/>
        <v>41.765000000000001</v>
      </c>
      <c r="AO81" s="46">
        <f t="shared" si="84"/>
        <v>68.4285</v>
      </c>
      <c r="AP81" s="46">
        <f t="shared" si="85"/>
        <v>174.59200000000001</v>
      </c>
      <c r="AQ81" s="46">
        <f t="shared" si="86"/>
        <v>42.605000000000004</v>
      </c>
      <c r="AR81" s="46">
        <f t="shared" si="87"/>
        <v>204.50750000000002</v>
      </c>
      <c r="AS81" s="46">
        <f t="shared" si="88"/>
        <v>206.625</v>
      </c>
      <c r="AT81" s="46">
        <f t="shared" si="89"/>
        <v>44.814</v>
      </c>
      <c r="AU81" s="46">
        <f t="shared" si="90"/>
        <v>50.560500000000005</v>
      </c>
      <c r="AV81" s="46">
        <f t="shared" si="91"/>
        <v>74.204999999999998</v>
      </c>
      <c r="AW81" s="46">
        <f t="shared" si="92"/>
        <v>84.475000000000009</v>
      </c>
      <c r="AX81" s="46">
        <f t="shared" si="93"/>
        <v>67.5</v>
      </c>
      <c r="AY81" s="46">
        <f t="shared" si="94"/>
        <v>41.867500000000007</v>
      </c>
    </row>
    <row r="82" spans="1:51" s="46" customFormat="1" ht="15">
      <c r="A82" s="263"/>
      <c r="B82" s="263"/>
      <c r="C82" s="304">
        <v>25099</v>
      </c>
      <c r="D82" s="325">
        <v>22372.400000000001</v>
      </c>
      <c r="E82" s="447">
        <v>21739</v>
      </c>
      <c r="F82" s="326" t="s">
        <v>29</v>
      </c>
      <c r="G82" s="336"/>
      <c r="H82" s="328">
        <v>820</v>
      </c>
      <c r="I82" s="325">
        <v>820</v>
      </c>
      <c r="J82" s="325">
        <v>820</v>
      </c>
      <c r="K82" s="325">
        <v>820</v>
      </c>
      <c r="L82" s="325">
        <v>820</v>
      </c>
      <c r="M82" s="325">
        <v>9549</v>
      </c>
      <c r="N82" s="325">
        <v>820</v>
      </c>
      <c r="O82" s="325">
        <v>820</v>
      </c>
      <c r="P82" s="325">
        <v>820</v>
      </c>
      <c r="Q82" s="325">
        <v>820</v>
      </c>
      <c r="R82" s="325">
        <v>1919</v>
      </c>
      <c r="S82" s="294">
        <v>820</v>
      </c>
      <c r="T82" s="325"/>
      <c r="U82" s="294">
        <f t="shared" si="54"/>
        <v>19668</v>
      </c>
      <c r="V82" s="304">
        <v>30056</v>
      </c>
      <c r="W82" s="297">
        <f t="shared" si="55"/>
        <v>-10388</v>
      </c>
      <c r="X82" s="413"/>
      <c r="Y82" s="424"/>
      <c r="Z82" s="429">
        <f t="shared" si="70"/>
        <v>861</v>
      </c>
      <c r="AA82" s="429">
        <f t="shared" si="71"/>
        <v>861</v>
      </c>
      <c r="AB82" s="429">
        <f t="shared" si="72"/>
        <v>861</v>
      </c>
      <c r="AC82" s="429">
        <f t="shared" si="73"/>
        <v>861</v>
      </c>
      <c r="AD82" s="429">
        <f t="shared" si="74"/>
        <v>861</v>
      </c>
      <c r="AE82" s="429">
        <f t="shared" si="75"/>
        <v>10026.450000000001</v>
      </c>
      <c r="AF82" s="429">
        <f t="shared" si="76"/>
        <v>861</v>
      </c>
      <c r="AG82" s="429">
        <f t="shared" si="77"/>
        <v>861</v>
      </c>
      <c r="AH82" s="429">
        <f t="shared" si="78"/>
        <v>861</v>
      </c>
      <c r="AI82" s="429">
        <f t="shared" si="79"/>
        <v>861</v>
      </c>
      <c r="AJ82" s="429">
        <f t="shared" si="80"/>
        <v>2014.95</v>
      </c>
      <c r="AK82" s="429">
        <f t="shared" si="81"/>
        <v>861</v>
      </c>
      <c r="AL82" s="478">
        <f t="shared" si="57"/>
        <v>20651.400000000001</v>
      </c>
      <c r="AN82" s="46">
        <f t="shared" si="83"/>
        <v>41</v>
      </c>
      <c r="AO82" s="46">
        <f t="shared" si="84"/>
        <v>41</v>
      </c>
      <c r="AP82" s="46">
        <f t="shared" si="85"/>
        <v>41</v>
      </c>
      <c r="AQ82" s="46">
        <f t="shared" si="86"/>
        <v>41</v>
      </c>
      <c r="AR82" s="46">
        <f t="shared" si="87"/>
        <v>41</v>
      </c>
      <c r="AS82" s="46">
        <f t="shared" si="88"/>
        <v>477.45000000000005</v>
      </c>
      <c r="AT82" s="46">
        <f t="shared" si="89"/>
        <v>41</v>
      </c>
      <c r="AU82" s="46">
        <f t="shared" si="90"/>
        <v>41</v>
      </c>
      <c r="AV82" s="46">
        <f t="shared" si="91"/>
        <v>41</v>
      </c>
      <c r="AW82" s="46">
        <f t="shared" si="92"/>
        <v>41</v>
      </c>
      <c r="AX82" s="46">
        <f t="shared" si="93"/>
        <v>95.95</v>
      </c>
      <c r="AY82" s="46">
        <f t="shared" si="94"/>
        <v>41</v>
      </c>
    </row>
    <row r="83" spans="1:51" s="46" customFormat="1" ht="15">
      <c r="A83" s="263"/>
      <c r="B83" s="263"/>
      <c r="C83" s="304">
        <v>1224.75</v>
      </c>
      <c r="D83" s="325">
        <v>450</v>
      </c>
      <c r="E83" s="447"/>
      <c r="F83" s="326" t="s">
        <v>13</v>
      </c>
      <c r="G83" s="336"/>
      <c r="H83" s="328"/>
      <c r="I83" s="325"/>
      <c r="J83" s="325"/>
      <c r="K83" s="325"/>
      <c r="L83" s="325"/>
      <c r="M83" s="325"/>
      <c r="N83" s="325"/>
      <c r="O83" s="325"/>
      <c r="P83" s="325"/>
      <c r="Q83" s="325"/>
      <c r="R83" s="325"/>
      <c r="S83" s="294"/>
      <c r="T83" s="325"/>
      <c r="U83" s="294">
        <f t="shared" si="54"/>
        <v>0</v>
      </c>
      <c r="V83" s="304">
        <v>17</v>
      </c>
      <c r="W83" s="297">
        <f t="shared" si="55"/>
        <v>-17</v>
      </c>
      <c r="X83" s="413"/>
      <c r="Y83" s="424"/>
      <c r="Z83" s="429">
        <f t="shared" si="70"/>
        <v>0</v>
      </c>
      <c r="AA83" s="429">
        <f t="shared" si="71"/>
        <v>0</v>
      </c>
      <c r="AB83" s="429">
        <f t="shared" si="72"/>
        <v>0</v>
      </c>
      <c r="AC83" s="429">
        <f t="shared" si="73"/>
        <v>0</v>
      </c>
      <c r="AD83" s="429">
        <f t="shared" si="74"/>
        <v>0</v>
      </c>
      <c r="AE83" s="429">
        <f t="shared" si="75"/>
        <v>0</v>
      </c>
      <c r="AF83" s="429">
        <f t="shared" si="76"/>
        <v>0</v>
      </c>
      <c r="AG83" s="429">
        <f t="shared" si="77"/>
        <v>0</v>
      </c>
      <c r="AH83" s="429">
        <f t="shared" si="78"/>
        <v>0</v>
      </c>
      <c r="AI83" s="429">
        <f t="shared" si="79"/>
        <v>0</v>
      </c>
      <c r="AJ83" s="429">
        <f t="shared" si="80"/>
        <v>0</v>
      </c>
      <c r="AK83" s="429">
        <f t="shared" si="81"/>
        <v>0</v>
      </c>
      <c r="AL83" s="478">
        <f t="shared" si="57"/>
        <v>0</v>
      </c>
      <c r="AN83" s="46">
        <f t="shared" si="83"/>
        <v>0</v>
      </c>
      <c r="AO83" s="46">
        <f t="shared" si="84"/>
        <v>0</v>
      </c>
      <c r="AP83" s="46">
        <f t="shared" si="85"/>
        <v>0</v>
      </c>
      <c r="AQ83" s="46">
        <f t="shared" si="86"/>
        <v>0</v>
      </c>
      <c r="AR83" s="46">
        <f t="shared" si="87"/>
        <v>0</v>
      </c>
      <c r="AS83" s="46">
        <f t="shared" si="88"/>
        <v>0</v>
      </c>
      <c r="AT83" s="46">
        <f t="shared" si="89"/>
        <v>0</v>
      </c>
      <c r="AU83" s="46">
        <f t="shared" si="90"/>
        <v>0</v>
      </c>
      <c r="AV83" s="46">
        <f t="shared" si="91"/>
        <v>0</v>
      </c>
      <c r="AW83" s="46">
        <f t="shared" si="92"/>
        <v>0</v>
      </c>
      <c r="AX83" s="46">
        <f t="shared" si="93"/>
        <v>0</v>
      </c>
      <c r="AY83" s="46">
        <f t="shared" si="94"/>
        <v>0</v>
      </c>
    </row>
    <row r="84" spans="1:51" s="46" customFormat="1" ht="15">
      <c r="A84" s="263"/>
      <c r="B84" s="263"/>
      <c r="C84" s="304">
        <v>67894.76999999999</v>
      </c>
      <c r="D84" s="325">
        <v>61678.380000000005</v>
      </c>
      <c r="E84" s="447">
        <v>60419.64</v>
      </c>
      <c r="F84" s="326" t="s">
        <v>30</v>
      </c>
      <c r="G84" s="336"/>
      <c r="H84" s="328">
        <v>5034.97</v>
      </c>
      <c r="I84" s="325">
        <v>5034.97</v>
      </c>
      <c r="J84" s="325">
        <v>5034.97</v>
      </c>
      <c r="K84" s="325">
        <v>5034.97</v>
      </c>
      <c r="L84" s="325">
        <v>5034.97</v>
      </c>
      <c r="M84" s="325">
        <v>5034.97</v>
      </c>
      <c r="N84" s="325">
        <v>5034.97</v>
      </c>
      <c r="O84" s="325">
        <v>5034.97</v>
      </c>
      <c r="P84" s="325">
        <v>5034.97</v>
      </c>
      <c r="Q84" s="325">
        <v>5034.97</v>
      </c>
      <c r="R84" s="325">
        <v>5034.97</v>
      </c>
      <c r="S84" s="294">
        <v>5034.97</v>
      </c>
      <c r="T84" s="325"/>
      <c r="U84" s="294">
        <f t="shared" si="54"/>
        <v>60419.640000000007</v>
      </c>
      <c r="V84" s="304">
        <v>63705</v>
      </c>
      <c r="W84" s="297">
        <f t="shared" si="55"/>
        <v>-3285.3599999999933</v>
      </c>
      <c r="X84" s="413"/>
      <c r="Y84" s="424"/>
      <c r="Z84" s="429">
        <f t="shared" si="70"/>
        <v>5286.7184999999999</v>
      </c>
      <c r="AA84" s="429">
        <f t="shared" si="71"/>
        <v>5286.7184999999999</v>
      </c>
      <c r="AB84" s="429">
        <f t="shared" si="72"/>
        <v>5286.7184999999999</v>
      </c>
      <c r="AC84" s="429">
        <f t="shared" si="73"/>
        <v>5286.7184999999999</v>
      </c>
      <c r="AD84" s="429">
        <f t="shared" si="74"/>
        <v>5286.7184999999999</v>
      </c>
      <c r="AE84" s="429">
        <f t="shared" si="75"/>
        <v>5286.7184999999999</v>
      </c>
      <c r="AF84" s="429">
        <f t="shared" si="76"/>
        <v>5286.7184999999999</v>
      </c>
      <c r="AG84" s="429">
        <f t="shared" si="77"/>
        <v>5286.7184999999999</v>
      </c>
      <c r="AH84" s="429">
        <f t="shared" si="78"/>
        <v>5286.7184999999999</v>
      </c>
      <c r="AI84" s="429">
        <f t="shared" si="79"/>
        <v>5286.7184999999999</v>
      </c>
      <c r="AJ84" s="429">
        <f t="shared" si="80"/>
        <v>5286.7184999999999</v>
      </c>
      <c r="AK84" s="429">
        <f t="shared" si="81"/>
        <v>5286.7184999999999</v>
      </c>
      <c r="AL84" s="478">
        <f t="shared" si="57"/>
        <v>63440.62200000001</v>
      </c>
      <c r="AN84" s="46">
        <f t="shared" si="83"/>
        <v>251.74850000000004</v>
      </c>
      <c r="AO84" s="46">
        <f t="shared" si="84"/>
        <v>251.74850000000004</v>
      </c>
      <c r="AP84" s="46">
        <f t="shared" si="85"/>
        <v>251.74850000000004</v>
      </c>
      <c r="AQ84" s="46">
        <f t="shared" si="86"/>
        <v>251.74850000000004</v>
      </c>
      <c r="AR84" s="46">
        <f t="shared" si="87"/>
        <v>251.74850000000004</v>
      </c>
      <c r="AS84" s="46">
        <f t="shared" si="88"/>
        <v>251.74850000000004</v>
      </c>
      <c r="AT84" s="46">
        <f t="shared" si="89"/>
        <v>251.74850000000004</v>
      </c>
      <c r="AU84" s="46">
        <f t="shared" si="90"/>
        <v>251.74850000000004</v>
      </c>
      <c r="AV84" s="46">
        <f t="shared" si="91"/>
        <v>251.74850000000004</v>
      </c>
      <c r="AW84" s="46">
        <f t="shared" si="92"/>
        <v>251.74850000000004</v>
      </c>
      <c r="AX84" s="46">
        <f t="shared" si="93"/>
        <v>251.74850000000004</v>
      </c>
      <c r="AY84" s="46">
        <f t="shared" si="94"/>
        <v>251.74850000000004</v>
      </c>
    </row>
    <row r="85" spans="1:51" s="46" customFormat="1" ht="15">
      <c r="A85" s="263"/>
      <c r="B85" s="263"/>
      <c r="C85" s="304">
        <v>17578.939999999999</v>
      </c>
      <c r="D85" s="325">
        <v>93879.91</v>
      </c>
      <c r="E85" s="447">
        <v>10489.51</v>
      </c>
      <c r="F85" s="326" t="s">
        <v>59</v>
      </c>
      <c r="G85" s="336"/>
      <c r="H85" s="328"/>
      <c r="I85" s="325">
        <v>7342.66</v>
      </c>
      <c r="J85" s="325">
        <v>26223.77</v>
      </c>
      <c r="K85" s="325"/>
      <c r="L85" s="325">
        <v>9440.56</v>
      </c>
      <c r="M85" s="325">
        <v>18881.12</v>
      </c>
      <c r="N85" s="325">
        <v>9440.56</v>
      </c>
      <c r="O85" s="325">
        <v>9440.56</v>
      </c>
      <c r="P85" s="325">
        <v>18881.12</v>
      </c>
      <c r="Q85" s="325">
        <v>9440.56</v>
      </c>
      <c r="R85" s="325"/>
      <c r="S85" s="294">
        <v>28321.68</v>
      </c>
      <c r="T85" s="325"/>
      <c r="U85" s="294">
        <f t="shared" si="54"/>
        <v>137412.59</v>
      </c>
      <c r="V85" s="304"/>
      <c r="W85" s="297">
        <f t="shared" si="55"/>
        <v>137412.59</v>
      </c>
      <c r="X85" s="413"/>
      <c r="Y85" s="424"/>
      <c r="Z85" s="429">
        <f t="shared" si="70"/>
        <v>0</v>
      </c>
      <c r="AA85" s="429">
        <f>+I85+AO85+10000</f>
        <v>17709.792999999998</v>
      </c>
      <c r="AB85" s="429">
        <f>+J85+AP85+8000</f>
        <v>35534.958500000001</v>
      </c>
      <c r="AC85" s="429">
        <f>10000+8000</f>
        <v>18000</v>
      </c>
      <c r="AD85" s="429">
        <f>+L85+AR85+8000</f>
        <v>17912.588</v>
      </c>
      <c r="AE85" s="429">
        <f>+M85+AS85+10000+8000</f>
        <v>37825.175999999999</v>
      </c>
      <c r="AF85" s="429">
        <f>+N85+AT85+8000</f>
        <v>17912.588</v>
      </c>
      <c r="AG85" s="429">
        <f>+O85+AU85+10000+8000</f>
        <v>27912.588</v>
      </c>
      <c r="AH85" s="429">
        <f>+P85+AV85+8000</f>
        <v>27825.175999999999</v>
      </c>
      <c r="AI85" s="429">
        <f>+Q85+AW85+10000+8000</f>
        <v>27912.588</v>
      </c>
      <c r="AJ85" s="429">
        <f>+R85+AX85+8000</f>
        <v>8000</v>
      </c>
      <c r="AK85" s="429">
        <f>+S85+AY85+10000+8000</f>
        <v>47737.763999999996</v>
      </c>
      <c r="AL85" s="478">
        <f t="shared" si="57"/>
        <v>284283.21950000001</v>
      </c>
      <c r="AN85" s="46">
        <f t="shared" si="83"/>
        <v>0</v>
      </c>
      <c r="AO85" s="46">
        <f t="shared" si="84"/>
        <v>367.13300000000004</v>
      </c>
      <c r="AP85" s="46">
        <f t="shared" si="85"/>
        <v>1311.1885000000002</v>
      </c>
      <c r="AQ85" s="46">
        <f t="shared" si="86"/>
        <v>0</v>
      </c>
      <c r="AR85" s="46">
        <f t="shared" si="87"/>
        <v>472.02800000000002</v>
      </c>
      <c r="AS85" s="46">
        <f t="shared" si="88"/>
        <v>944.05600000000004</v>
      </c>
      <c r="AT85" s="46">
        <f t="shared" si="89"/>
        <v>472.02800000000002</v>
      </c>
      <c r="AU85" s="46">
        <f t="shared" si="90"/>
        <v>472.02800000000002</v>
      </c>
      <c r="AV85" s="46">
        <f t="shared" si="91"/>
        <v>944.05600000000004</v>
      </c>
      <c r="AW85" s="46">
        <f t="shared" si="92"/>
        <v>472.02800000000002</v>
      </c>
      <c r="AX85" s="46">
        <f t="shared" si="93"/>
        <v>0</v>
      </c>
      <c r="AY85" s="46">
        <f t="shared" si="94"/>
        <v>1416.0840000000001</v>
      </c>
    </row>
    <row r="86" spans="1:51" s="46" customFormat="1" ht="15">
      <c r="A86" s="263"/>
      <c r="B86" s="263"/>
      <c r="C86" s="304">
        <v>486905.48</v>
      </c>
      <c r="D86" s="325">
        <v>883448.11</v>
      </c>
      <c r="E86" s="447">
        <v>859420.43</v>
      </c>
      <c r="F86" s="326" t="s">
        <v>31</v>
      </c>
      <c r="G86" s="336"/>
      <c r="H86" s="328">
        <v>40811.01</v>
      </c>
      <c r="I86" s="325">
        <v>40643.760000000002</v>
      </c>
      <c r="J86" s="325">
        <v>127762.21</v>
      </c>
      <c r="K86" s="325">
        <v>94458</v>
      </c>
      <c r="L86" s="325">
        <v>47576.61</v>
      </c>
      <c r="M86" s="325">
        <v>98445.51</v>
      </c>
      <c r="N86" s="325">
        <v>115330.79</v>
      </c>
      <c r="O86" s="325">
        <v>56028.61</v>
      </c>
      <c r="P86" s="325">
        <v>113485.75</v>
      </c>
      <c r="Q86" s="325">
        <v>32913.440000000002</v>
      </c>
      <c r="R86" s="325">
        <v>87849.88</v>
      </c>
      <c r="S86" s="294">
        <v>95618.95</v>
      </c>
      <c r="T86" s="325"/>
      <c r="U86" s="294">
        <f t="shared" si="54"/>
        <v>950924.5199999999</v>
      </c>
      <c r="V86" s="304">
        <v>1204974</v>
      </c>
      <c r="W86" s="297">
        <f t="shared" si="55"/>
        <v>-254049.4800000001</v>
      </c>
      <c r="X86" s="413"/>
      <c r="Y86" s="424"/>
      <c r="Z86" s="429">
        <f t="shared" si="70"/>
        <v>42851.5605</v>
      </c>
      <c r="AA86" s="429">
        <f t="shared" si="71"/>
        <v>42675.948000000004</v>
      </c>
      <c r="AB86" s="429">
        <f t="shared" si="72"/>
        <v>134150.3205</v>
      </c>
      <c r="AC86" s="429">
        <f t="shared" si="73"/>
        <v>99180.9</v>
      </c>
      <c r="AD86" s="429">
        <f t="shared" si="74"/>
        <v>49955.440499999997</v>
      </c>
      <c r="AE86" s="429">
        <f t="shared" si="75"/>
        <v>103367.7855</v>
      </c>
      <c r="AF86" s="429">
        <f t="shared" si="76"/>
        <v>121097.32949999999</v>
      </c>
      <c r="AG86" s="429">
        <f t="shared" si="77"/>
        <v>58830.040500000003</v>
      </c>
      <c r="AH86" s="429">
        <f t="shared" si="78"/>
        <v>119160.03750000001</v>
      </c>
      <c r="AI86" s="429">
        <f t="shared" si="79"/>
        <v>34559.112000000001</v>
      </c>
      <c r="AJ86" s="429">
        <f t="shared" si="80"/>
        <v>92242.374000000011</v>
      </c>
      <c r="AK86" s="429">
        <f t="shared" si="81"/>
        <v>100399.89749999999</v>
      </c>
      <c r="AL86" s="478">
        <f t="shared" si="57"/>
        <v>998470.74599999981</v>
      </c>
      <c r="AN86" s="46">
        <f t="shared" si="83"/>
        <v>2040.5505000000003</v>
      </c>
      <c r="AO86" s="46">
        <f t="shared" si="84"/>
        <v>2032.1880000000001</v>
      </c>
      <c r="AP86" s="46">
        <f t="shared" si="85"/>
        <v>6388.1105000000007</v>
      </c>
      <c r="AQ86" s="46">
        <f t="shared" si="86"/>
        <v>4722.9000000000005</v>
      </c>
      <c r="AR86" s="46">
        <f t="shared" si="87"/>
        <v>2378.8305</v>
      </c>
      <c r="AS86" s="46">
        <f t="shared" si="88"/>
        <v>4922.2754999999997</v>
      </c>
      <c r="AT86" s="46">
        <f t="shared" si="89"/>
        <v>5766.5394999999999</v>
      </c>
      <c r="AU86" s="46">
        <f t="shared" si="90"/>
        <v>2801.4305000000004</v>
      </c>
      <c r="AV86" s="46">
        <f t="shared" si="91"/>
        <v>5674.2875000000004</v>
      </c>
      <c r="AW86" s="46">
        <f t="shared" si="92"/>
        <v>1645.6720000000003</v>
      </c>
      <c r="AX86" s="46">
        <f t="shared" si="93"/>
        <v>4392.4940000000006</v>
      </c>
      <c r="AY86" s="46">
        <f t="shared" si="94"/>
        <v>4780.9475000000002</v>
      </c>
    </row>
    <row r="87" spans="1:51" s="46" customFormat="1" ht="15">
      <c r="A87" s="263"/>
      <c r="B87" s="263"/>
      <c r="C87" s="304">
        <v>41577.910000000003</v>
      </c>
      <c r="D87" s="325">
        <v>49113.17</v>
      </c>
      <c r="E87" s="447">
        <v>52926.52</v>
      </c>
      <c r="F87" s="326" t="s">
        <v>32</v>
      </c>
      <c r="G87" s="336"/>
      <c r="H87" s="328">
        <v>1305.26</v>
      </c>
      <c r="I87" s="325">
        <v>7947.62</v>
      </c>
      <c r="J87" s="325">
        <v>5292.52</v>
      </c>
      <c r="K87" s="325">
        <v>1026.78</v>
      </c>
      <c r="L87" s="325">
        <v>6178.1</v>
      </c>
      <c r="M87" s="325">
        <v>1713.81</v>
      </c>
      <c r="N87" s="325">
        <v>1808.58</v>
      </c>
      <c r="O87" s="325">
        <v>2889.05</v>
      </c>
      <c r="P87" s="325">
        <v>3614.48</v>
      </c>
      <c r="Q87" s="325">
        <v>8221.39</v>
      </c>
      <c r="R87" s="325">
        <v>563.01</v>
      </c>
      <c r="S87" s="294">
        <v>2099.64</v>
      </c>
      <c r="T87" s="325"/>
      <c r="U87" s="294">
        <f t="shared" si="54"/>
        <v>42660.24</v>
      </c>
      <c r="V87" s="304">
        <v>43158</v>
      </c>
      <c r="W87" s="297">
        <f t="shared" si="55"/>
        <v>-497.76000000000204</v>
      </c>
      <c r="X87" s="413"/>
      <c r="Y87" s="424"/>
      <c r="Z87" s="429">
        <f t="shared" si="70"/>
        <v>1370.5229999999999</v>
      </c>
      <c r="AA87" s="429">
        <f t="shared" si="71"/>
        <v>8345.0010000000002</v>
      </c>
      <c r="AB87" s="429">
        <f t="shared" si="72"/>
        <v>5557.1460000000006</v>
      </c>
      <c r="AC87" s="429">
        <f t="shared" si="73"/>
        <v>1078.1189999999999</v>
      </c>
      <c r="AD87" s="429">
        <f t="shared" si="74"/>
        <v>6487.0050000000001</v>
      </c>
      <c r="AE87" s="429">
        <f t="shared" si="75"/>
        <v>1799.5004999999999</v>
      </c>
      <c r="AF87" s="429">
        <f t="shared" si="76"/>
        <v>1899.009</v>
      </c>
      <c r="AG87" s="429">
        <f t="shared" si="77"/>
        <v>3033.5025000000001</v>
      </c>
      <c r="AH87" s="429">
        <f t="shared" si="78"/>
        <v>3795.2040000000002</v>
      </c>
      <c r="AI87" s="429">
        <f t="shared" si="79"/>
        <v>8632.459499999999</v>
      </c>
      <c r="AJ87" s="429">
        <f t="shared" si="80"/>
        <v>591.16049999999996</v>
      </c>
      <c r="AK87" s="429">
        <f t="shared" si="81"/>
        <v>2204.6219999999998</v>
      </c>
      <c r="AL87" s="478">
        <f t="shared" si="57"/>
        <v>44793.252</v>
      </c>
      <c r="AN87" s="46">
        <f t="shared" si="83"/>
        <v>65.263000000000005</v>
      </c>
      <c r="AO87" s="46">
        <f t="shared" si="84"/>
        <v>397.38100000000003</v>
      </c>
      <c r="AP87" s="46">
        <f t="shared" si="85"/>
        <v>264.62600000000003</v>
      </c>
      <c r="AQ87" s="46">
        <f t="shared" si="86"/>
        <v>51.338999999999999</v>
      </c>
      <c r="AR87" s="46">
        <f t="shared" si="87"/>
        <v>308.90500000000003</v>
      </c>
      <c r="AS87" s="46">
        <f t="shared" si="88"/>
        <v>85.6905</v>
      </c>
      <c r="AT87" s="46">
        <f t="shared" si="89"/>
        <v>90.429000000000002</v>
      </c>
      <c r="AU87" s="46">
        <f t="shared" si="90"/>
        <v>144.45250000000001</v>
      </c>
      <c r="AV87" s="46">
        <f t="shared" si="91"/>
        <v>180.72400000000002</v>
      </c>
      <c r="AW87" s="46">
        <f t="shared" si="92"/>
        <v>411.06950000000001</v>
      </c>
      <c r="AX87" s="46">
        <f t="shared" si="93"/>
        <v>28.150500000000001</v>
      </c>
      <c r="AY87" s="46">
        <f t="shared" si="94"/>
        <v>104.982</v>
      </c>
    </row>
    <row r="88" spans="1:51" s="46" customFormat="1" ht="15">
      <c r="A88" s="263"/>
      <c r="B88" s="263"/>
      <c r="C88" s="304">
        <v>765940.33</v>
      </c>
      <c r="D88" s="325">
        <v>851532.44</v>
      </c>
      <c r="E88" s="447">
        <v>806107.2</v>
      </c>
      <c r="F88" s="326" t="s">
        <v>33</v>
      </c>
      <c r="G88" s="336"/>
      <c r="H88" s="328"/>
      <c r="I88" s="325"/>
      <c r="J88" s="325">
        <v>60947.48</v>
      </c>
      <c r="K88" s="325"/>
      <c r="L88" s="325">
        <v>44496.51</v>
      </c>
      <c r="M88" s="325">
        <v>237872.82</v>
      </c>
      <c r="N88" s="325"/>
      <c r="O88" s="325"/>
      <c r="P88" s="325"/>
      <c r="Q88" s="325">
        <v>347475.65</v>
      </c>
      <c r="R88" s="325">
        <v>215971.01</v>
      </c>
      <c r="S88" s="294"/>
      <c r="T88" s="325"/>
      <c r="U88" s="294">
        <f t="shared" si="54"/>
        <v>906763.47</v>
      </c>
      <c r="V88" s="304">
        <v>1008615</v>
      </c>
      <c r="W88" s="297">
        <f t="shared" si="55"/>
        <v>-101851.53000000003</v>
      </c>
      <c r="X88" s="413"/>
      <c r="Y88" s="424"/>
      <c r="Z88" s="429">
        <f t="shared" si="70"/>
        <v>0</v>
      </c>
      <c r="AA88" s="429">
        <f t="shared" si="71"/>
        <v>0</v>
      </c>
      <c r="AB88" s="429">
        <f t="shared" si="72"/>
        <v>63994.854000000007</v>
      </c>
      <c r="AC88" s="429">
        <f t="shared" si="73"/>
        <v>0</v>
      </c>
      <c r="AD88" s="429">
        <f t="shared" si="74"/>
        <v>46721.335500000001</v>
      </c>
      <c r="AE88" s="429">
        <f t="shared" si="75"/>
        <v>249766.46100000001</v>
      </c>
      <c r="AF88" s="429">
        <f t="shared" si="76"/>
        <v>0</v>
      </c>
      <c r="AG88" s="429">
        <f t="shared" si="77"/>
        <v>0</v>
      </c>
      <c r="AH88" s="429">
        <f t="shared" si="78"/>
        <v>0</v>
      </c>
      <c r="AI88" s="429">
        <f t="shared" si="79"/>
        <v>364849.4325</v>
      </c>
      <c r="AJ88" s="429">
        <f t="shared" si="80"/>
        <v>226769.56050000002</v>
      </c>
      <c r="AK88" s="429">
        <f t="shared" si="81"/>
        <v>0</v>
      </c>
      <c r="AL88" s="478">
        <f t="shared" si="57"/>
        <v>952101.64350000001</v>
      </c>
      <c r="AN88" s="46">
        <f t="shared" si="83"/>
        <v>0</v>
      </c>
      <c r="AO88" s="46">
        <f t="shared" si="84"/>
        <v>0</v>
      </c>
      <c r="AP88" s="46">
        <f t="shared" si="85"/>
        <v>3047.3740000000003</v>
      </c>
      <c r="AQ88" s="46">
        <f t="shared" si="86"/>
        <v>0</v>
      </c>
      <c r="AR88" s="46">
        <f t="shared" si="87"/>
        <v>2224.8255000000004</v>
      </c>
      <c r="AS88" s="46">
        <f t="shared" si="88"/>
        <v>11893.641000000001</v>
      </c>
      <c r="AT88" s="46">
        <f t="shared" si="89"/>
        <v>0</v>
      </c>
      <c r="AU88" s="46">
        <f t="shared" si="90"/>
        <v>0</v>
      </c>
      <c r="AV88" s="46">
        <f t="shared" si="91"/>
        <v>0</v>
      </c>
      <c r="AW88" s="46">
        <f t="shared" si="92"/>
        <v>17373.782500000001</v>
      </c>
      <c r="AX88" s="46">
        <f t="shared" si="93"/>
        <v>10798.550500000001</v>
      </c>
      <c r="AY88" s="46">
        <f t="shared" si="94"/>
        <v>0</v>
      </c>
    </row>
    <row r="89" spans="1:51" s="46" customFormat="1" ht="15">
      <c r="A89" s="263"/>
      <c r="B89" s="263"/>
      <c r="C89" s="304">
        <v>58396.2</v>
      </c>
      <c r="D89" s="325">
        <v>87530.6</v>
      </c>
      <c r="E89" s="447">
        <v>83124.75</v>
      </c>
      <c r="F89" s="326" t="s">
        <v>34</v>
      </c>
      <c r="G89" s="336"/>
      <c r="H89" s="328"/>
      <c r="I89" s="325">
        <v>6964</v>
      </c>
      <c r="J89" s="325">
        <v>14807.5</v>
      </c>
      <c r="K89" s="325">
        <v>9915.2000000000007</v>
      </c>
      <c r="L89" s="325"/>
      <c r="M89" s="325">
        <v>17859</v>
      </c>
      <c r="N89" s="325">
        <v>23</v>
      </c>
      <c r="O89" s="325">
        <v>12814.91</v>
      </c>
      <c r="P89" s="325">
        <v>9115</v>
      </c>
      <c r="Q89" s="325">
        <v>7242.45</v>
      </c>
      <c r="R89" s="325">
        <v>9872</v>
      </c>
      <c r="S89" s="294">
        <v>15328.98</v>
      </c>
      <c r="T89" s="325"/>
      <c r="U89" s="294">
        <f t="shared" si="54"/>
        <v>103942.04</v>
      </c>
      <c r="V89" s="304">
        <v>92879</v>
      </c>
      <c r="W89" s="297">
        <f t="shared" si="55"/>
        <v>11063.039999999994</v>
      </c>
      <c r="X89" s="413"/>
      <c r="Y89" s="424"/>
      <c r="Z89" s="429">
        <f t="shared" si="70"/>
        <v>0</v>
      </c>
      <c r="AA89" s="429">
        <f t="shared" si="71"/>
        <v>7312.2</v>
      </c>
      <c r="AB89" s="429">
        <f t="shared" si="72"/>
        <v>15547.875</v>
      </c>
      <c r="AC89" s="429">
        <f t="shared" si="73"/>
        <v>10410.960000000001</v>
      </c>
      <c r="AD89" s="429">
        <f t="shared" si="74"/>
        <v>0</v>
      </c>
      <c r="AE89" s="429">
        <f t="shared" si="75"/>
        <v>18751.95</v>
      </c>
      <c r="AF89" s="429">
        <f t="shared" si="76"/>
        <v>24.15</v>
      </c>
      <c r="AG89" s="429">
        <f t="shared" si="77"/>
        <v>13455.655500000001</v>
      </c>
      <c r="AH89" s="429">
        <f t="shared" si="78"/>
        <v>9570.75</v>
      </c>
      <c r="AI89" s="429">
        <f t="shared" si="79"/>
        <v>7604.5725000000002</v>
      </c>
      <c r="AJ89" s="429">
        <f t="shared" si="80"/>
        <v>10365.6</v>
      </c>
      <c r="AK89" s="429">
        <f t="shared" si="81"/>
        <v>16095.429</v>
      </c>
      <c r="AL89" s="478">
        <f t="shared" si="57"/>
        <v>109139.14200000001</v>
      </c>
      <c r="AN89" s="46">
        <f t="shared" si="83"/>
        <v>0</v>
      </c>
      <c r="AO89" s="46">
        <f t="shared" si="84"/>
        <v>348.20000000000005</v>
      </c>
      <c r="AP89" s="46">
        <f t="shared" si="85"/>
        <v>740.375</v>
      </c>
      <c r="AQ89" s="46">
        <f t="shared" si="86"/>
        <v>495.76000000000005</v>
      </c>
      <c r="AR89" s="46">
        <f t="shared" si="87"/>
        <v>0</v>
      </c>
      <c r="AS89" s="46">
        <f t="shared" si="88"/>
        <v>892.95</v>
      </c>
      <c r="AT89" s="46">
        <f t="shared" si="89"/>
        <v>1.1500000000000001</v>
      </c>
      <c r="AU89" s="46">
        <f t="shared" si="90"/>
        <v>640.74549999999999</v>
      </c>
      <c r="AV89" s="46">
        <f t="shared" si="91"/>
        <v>455.75</v>
      </c>
      <c r="AW89" s="46">
        <f t="shared" si="92"/>
        <v>362.1225</v>
      </c>
      <c r="AX89" s="46">
        <f t="shared" si="93"/>
        <v>493.6</v>
      </c>
      <c r="AY89" s="46">
        <f t="shared" si="94"/>
        <v>766.44900000000007</v>
      </c>
    </row>
    <row r="90" spans="1:51" s="46" customFormat="1" ht="15">
      <c r="A90" s="263"/>
      <c r="B90" s="263"/>
      <c r="C90" s="304">
        <v>59765.16</v>
      </c>
      <c r="D90" s="325">
        <v>40045.440000000002</v>
      </c>
      <c r="E90" s="447">
        <v>19234.98</v>
      </c>
      <c r="F90" s="326" t="s">
        <v>35</v>
      </c>
      <c r="G90" s="336"/>
      <c r="H90" s="328">
        <v>3123</v>
      </c>
      <c r="I90" s="325"/>
      <c r="J90" s="325">
        <v>7965.62</v>
      </c>
      <c r="K90" s="325"/>
      <c r="L90" s="325"/>
      <c r="M90" s="325"/>
      <c r="N90" s="325"/>
      <c r="O90" s="325">
        <v>6578</v>
      </c>
      <c r="P90" s="325"/>
      <c r="Q90" s="325">
        <v>116</v>
      </c>
      <c r="R90" s="325"/>
      <c r="S90" s="294"/>
      <c r="T90" s="325"/>
      <c r="U90" s="294">
        <f t="shared" si="54"/>
        <v>17782.62</v>
      </c>
      <c r="V90" s="304">
        <v>24205</v>
      </c>
      <c r="W90" s="297">
        <f t="shared" si="55"/>
        <v>-6422.380000000001</v>
      </c>
      <c r="X90" s="413"/>
      <c r="Y90" s="424"/>
      <c r="Z90" s="429">
        <f t="shared" si="70"/>
        <v>3279.15</v>
      </c>
      <c r="AA90" s="429">
        <f t="shared" si="71"/>
        <v>0</v>
      </c>
      <c r="AB90" s="429">
        <f t="shared" si="72"/>
        <v>8363.9009999999998</v>
      </c>
      <c r="AC90" s="429">
        <f t="shared" si="73"/>
        <v>0</v>
      </c>
      <c r="AD90" s="429">
        <f t="shared" si="74"/>
        <v>0</v>
      </c>
      <c r="AE90" s="429">
        <f t="shared" si="75"/>
        <v>0</v>
      </c>
      <c r="AF90" s="429">
        <f t="shared" si="76"/>
        <v>0</v>
      </c>
      <c r="AG90" s="429">
        <f t="shared" si="77"/>
        <v>6906.9</v>
      </c>
      <c r="AH90" s="429">
        <f t="shared" si="78"/>
        <v>0</v>
      </c>
      <c r="AI90" s="429">
        <f t="shared" si="79"/>
        <v>121.8</v>
      </c>
      <c r="AJ90" s="429">
        <f t="shared" si="80"/>
        <v>0</v>
      </c>
      <c r="AK90" s="429">
        <f t="shared" si="81"/>
        <v>0</v>
      </c>
      <c r="AL90" s="478">
        <f t="shared" si="57"/>
        <v>18671.751</v>
      </c>
      <c r="AN90" s="46">
        <f t="shared" si="83"/>
        <v>156.15</v>
      </c>
      <c r="AO90" s="46">
        <f t="shared" si="84"/>
        <v>0</v>
      </c>
      <c r="AP90" s="46">
        <f t="shared" si="85"/>
        <v>398.28100000000001</v>
      </c>
      <c r="AQ90" s="46">
        <f t="shared" si="86"/>
        <v>0</v>
      </c>
      <c r="AR90" s="46">
        <f t="shared" si="87"/>
        <v>0</v>
      </c>
      <c r="AS90" s="46">
        <f t="shared" si="88"/>
        <v>0</v>
      </c>
      <c r="AT90" s="46">
        <f t="shared" si="89"/>
        <v>0</v>
      </c>
      <c r="AU90" s="46">
        <f t="shared" si="90"/>
        <v>328.90000000000003</v>
      </c>
      <c r="AV90" s="46">
        <f t="shared" si="91"/>
        <v>0</v>
      </c>
      <c r="AW90" s="46">
        <f t="shared" si="92"/>
        <v>5.8000000000000007</v>
      </c>
      <c r="AX90" s="46">
        <f t="shared" si="93"/>
        <v>0</v>
      </c>
      <c r="AY90" s="46">
        <f t="shared" si="94"/>
        <v>0</v>
      </c>
    </row>
    <row r="91" spans="1:51" s="46" customFormat="1">
      <c r="A91" s="263"/>
      <c r="B91" s="263"/>
      <c r="C91" s="304">
        <v>0</v>
      </c>
      <c r="D91" s="325">
        <v>0</v>
      </c>
      <c r="E91" s="447"/>
      <c r="F91" s="326" t="s">
        <v>36</v>
      </c>
      <c r="G91" s="327"/>
      <c r="H91" s="328"/>
      <c r="I91" s="325"/>
      <c r="J91" s="325"/>
      <c r="K91" s="325"/>
      <c r="L91" s="325"/>
      <c r="M91" s="325"/>
      <c r="N91" s="325"/>
      <c r="O91" s="325"/>
      <c r="P91" s="325"/>
      <c r="Q91" s="325"/>
      <c r="R91" s="325"/>
      <c r="S91" s="294"/>
      <c r="T91" s="325"/>
      <c r="U91" s="294">
        <f t="shared" si="54"/>
        <v>0</v>
      </c>
      <c r="V91" s="304"/>
      <c r="W91" s="297">
        <f t="shared" si="55"/>
        <v>0</v>
      </c>
      <c r="X91" s="413"/>
      <c r="Y91" s="424"/>
      <c r="Z91" s="429">
        <f t="shared" si="70"/>
        <v>0</v>
      </c>
      <c r="AA91" s="429">
        <f t="shared" si="71"/>
        <v>0</v>
      </c>
      <c r="AB91" s="429">
        <f t="shared" si="72"/>
        <v>0</v>
      </c>
      <c r="AC91" s="429">
        <f t="shared" si="73"/>
        <v>0</v>
      </c>
      <c r="AD91" s="429">
        <f t="shared" si="74"/>
        <v>0</v>
      </c>
      <c r="AE91" s="429">
        <f t="shared" si="75"/>
        <v>0</v>
      </c>
      <c r="AF91" s="429">
        <f t="shared" si="76"/>
        <v>0</v>
      </c>
      <c r="AG91" s="429">
        <f t="shared" si="77"/>
        <v>0</v>
      </c>
      <c r="AH91" s="429">
        <f t="shared" si="78"/>
        <v>0</v>
      </c>
      <c r="AI91" s="429">
        <f t="shared" si="79"/>
        <v>0</v>
      </c>
      <c r="AJ91" s="429">
        <f t="shared" si="80"/>
        <v>0</v>
      </c>
      <c r="AK91" s="429">
        <f t="shared" si="81"/>
        <v>0</v>
      </c>
      <c r="AL91" s="478">
        <f t="shared" si="57"/>
        <v>0</v>
      </c>
      <c r="AN91" s="46">
        <f t="shared" si="83"/>
        <v>0</v>
      </c>
      <c r="AO91" s="46">
        <f t="shared" si="84"/>
        <v>0</v>
      </c>
      <c r="AP91" s="46">
        <f t="shared" si="85"/>
        <v>0</v>
      </c>
      <c r="AQ91" s="46">
        <f t="shared" si="86"/>
        <v>0</v>
      </c>
      <c r="AR91" s="46">
        <f t="shared" si="87"/>
        <v>0</v>
      </c>
      <c r="AS91" s="46">
        <f t="shared" si="88"/>
        <v>0</v>
      </c>
      <c r="AT91" s="46">
        <f t="shared" si="89"/>
        <v>0</v>
      </c>
      <c r="AU91" s="46">
        <f t="shared" si="90"/>
        <v>0</v>
      </c>
      <c r="AV91" s="46">
        <f t="shared" si="91"/>
        <v>0</v>
      </c>
      <c r="AW91" s="46">
        <f t="shared" si="92"/>
        <v>0</v>
      </c>
      <c r="AX91" s="46">
        <f t="shared" si="93"/>
        <v>0</v>
      </c>
      <c r="AY91" s="46">
        <f t="shared" si="94"/>
        <v>0</v>
      </c>
    </row>
    <row r="92" spans="1:51" s="46" customFormat="1">
      <c r="A92" s="263"/>
      <c r="B92" s="263"/>
      <c r="C92" s="304">
        <v>60072.680000000008</v>
      </c>
      <c r="D92" s="325">
        <v>16326.739999999998</v>
      </c>
      <c r="E92" s="447">
        <f>5798.02-3412.5</f>
        <v>2385.5200000000004</v>
      </c>
      <c r="F92" s="326" t="s">
        <v>37</v>
      </c>
      <c r="G92" s="327"/>
      <c r="H92" s="328">
        <v>2089.7399999999998</v>
      </c>
      <c r="I92" s="325">
        <v>5537.95</v>
      </c>
      <c r="J92" s="325">
        <v>1115</v>
      </c>
      <c r="K92" s="325">
        <v>1180</v>
      </c>
      <c r="L92" s="325">
        <v>2733.65</v>
      </c>
      <c r="M92" s="325">
        <v>739.25</v>
      </c>
      <c r="N92" s="325"/>
      <c r="O92" s="325">
        <v>809.08</v>
      </c>
      <c r="P92" s="325">
        <v>200</v>
      </c>
      <c r="Q92" s="325">
        <v>202.09</v>
      </c>
      <c r="R92" s="325">
        <v>21617.52</v>
      </c>
      <c r="S92" s="294">
        <v>706.67</v>
      </c>
      <c r="T92" s="325"/>
      <c r="U92" s="294">
        <f t="shared" si="54"/>
        <v>36930.949999999997</v>
      </c>
      <c r="V92" s="304">
        <v>17668</v>
      </c>
      <c r="W92" s="297">
        <f t="shared" si="55"/>
        <v>19262.949999999997</v>
      </c>
      <c r="X92" s="413"/>
      <c r="Y92" s="424"/>
      <c r="Z92" s="429">
        <f t="shared" si="70"/>
        <v>2194.2269999999999</v>
      </c>
      <c r="AA92" s="429">
        <f t="shared" si="71"/>
        <v>5814.8474999999999</v>
      </c>
      <c r="AB92" s="429">
        <f t="shared" si="72"/>
        <v>1170.75</v>
      </c>
      <c r="AC92" s="429">
        <f t="shared" si="73"/>
        <v>1239</v>
      </c>
      <c r="AD92" s="429">
        <f t="shared" si="74"/>
        <v>2870.3325</v>
      </c>
      <c r="AE92" s="429">
        <f t="shared" si="75"/>
        <v>776.21249999999998</v>
      </c>
      <c r="AF92" s="429">
        <f t="shared" si="76"/>
        <v>0</v>
      </c>
      <c r="AG92" s="429">
        <f t="shared" si="77"/>
        <v>849.53400000000011</v>
      </c>
      <c r="AH92" s="429">
        <f t="shared" si="78"/>
        <v>210</v>
      </c>
      <c r="AI92" s="429">
        <f t="shared" si="79"/>
        <v>212.19450000000001</v>
      </c>
      <c r="AJ92" s="429">
        <f t="shared" si="80"/>
        <v>22698.396000000001</v>
      </c>
      <c r="AK92" s="429">
        <f t="shared" si="81"/>
        <v>742.00349999999992</v>
      </c>
      <c r="AL92" s="478">
        <f t="shared" si="57"/>
        <v>38777.497499999998</v>
      </c>
      <c r="AN92" s="46">
        <f t="shared" si="83"/>
        <v>104.48699999999999</v>
      </c>
      <c r="AO92" s="46">
        <f t="shared" si="84"/>
        <v>276.89749999999998</v>
      </c>
      <c r="AP92" s="46">
        <f t="shared" si="85"/>
        <v>55.75</v>
      </c>
      <c r="AQ92" s="46">
        <f t="shared" si="86"/>
        <v>59</v>
      </c>
      <c r="AR92" s="46">
        <f t="shared" si="87"/>
        <v>136.6825</v>
      </c>
      <c r="AS92" s="46">
        <f t="shared" si="88"/>
        <v>36.962499999999999</v>
      </c>
      <c r="AT92" s="46">
        <f t="shared" si="89"/>
        <v>0</v>
      </c>
      <c r="AU92" s="46">
        <f t="shared" si="90"/>
        <v>40.454000000000008</v>
      </c>
      <c r="AV92" s="46">
        <f t="shared" si="91"/>
        <v>10</v>
      </c>
      <c r="AW92" s="46">
        <f t="shared" si="92"/>
        <v>10.104500000000002</v>
      </c>
      <c r="AX92" s="46">
        <f t="shared" si="93"/>
        <v>1080.876</v>
      </c>
      <c r="AY92" s="46">
        <f t="shared" si="94"/>
        <v>35.333500000000001</v>
      </c>
    </row>
    <row r="93" spans="1:51" s="46" customFormat="1">
      <c r="A93" s="263"/>
      <c r="B93" s="263"/>
      <c r="C93" s="304">
        <v>1699</v>
      </c>
      <c r="D93" s="325">
        <v>0</v>
      </c>
      <c r="E93" s="447"/>
      <c r="F93" s="326" t="s">
        <v>70</v>
      </c>
      <c r="G93" s="327"/>
      <c r="H93" s="328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294"/>
      <c r="T93" s="325"/>
      <c r="U93" s="294">
        <f t="shared" si="54"/>
        <v>0</v>
      </c>
      <c r="V93" s="297">
        <v>624</v>
      </c>
      <c r="W93" s="297">
        <f t="shared" si="55"/>
        <v>-624</v>
      </c>
      <c r="X93" s="413"/>
      <c r="Y93" s="424"/>
      <c r="Z93" s="429">
        <f t="shared" si="70"/>
        <v>0</v>
      </c>
      <c r="AA93" s="429">
        <f t="shared" si="71"/>
        <v>0</v>
      </c>
      <c r="AB93" s="429">
        <f t="shared" si="72"/>
        <v>0</v>
      </c>
      <c r="AC93" s="429">
        <f t="shared" si="73"/>
        <v>0</v>
      </c>
      <c r="AD93" s="429">
        <f t="shared" si="74"/>
        <v>0</v>
      </c>
      <c r="AE93" s="429">
        <f t="shared" si="75"/>
        <v>0</v>
      </c>
      <c r="AF93" s="429">
        <f t="shared" si="76"/>
        <v>0</v>
      </c>
      <c r="AG93" s="429">
        <f t="shared" si="77"/>
        <v>0</v>
      </c>
      <c r="AH93" s="429">
        <f t="shared" si="78"/>
        <v>0</v>
      </c>
      <c r="AI93" s="429">
        <f t="shared" si="79"/>
        <v>0</v>
      </c>
      <c r="AJ93" s="429">
        <f t="shared" si="80"/>
        <v>0</v>
      </c>
      <c r="AK93" s="429">
        <f t="shared" si="81"/>
        <v>0</v>
      </c>
      <c r="AL93" s="478">
        <f t="shared" si="57"/>
        <v>0</v>
      </c>
      <c r="AN93" s="46">
        <f t="shared" si="83"/>
        <v>0</v>
      </c>
      <c r="AO93" s="46">
        <f t="shared" si="84"/>
        <v>0</v>
      </c>
      <c r="AP93" s="46">
        <f t="shared" si="85"/>
        <v>0</v>
      </c>
      <c r="AQ93" s="46">
        <f t="shared" si="86"/>
        <v>0</v>
      </c>
      <c r="AR93" s="46">
        <f t="shared" si="87"/>
        <v>0</v>
      </c>
      <c r="AS93" s="46">
        <f t="shared" si="88"/>
        <v>0</v>
      </c>
      <c r="AT93" s="46">
        <f t="shared" si="89"/>
        <v>0</v>
      </c>
      <c r="AU93" s="46">
        <f t="shared" si="90"/>
        <v>0</v>
      </c>
      <c r="AV93" s="46">
        <f t="shared" si="91"/>
        <v>0</v>
      </c>
      <c r="AW93" s="46">
        <f t="shared" si="92"/>
        <v>0</v>
      </c>
      <c r="AX93" s="46">
        <f t="shared" si="93"/>
        <v>0</v>
      </c>
      <c r="AY93" s="46">
        <f t="shared" si="94"/>
        <v>0</v>
      </c>
    </row>
    <row r="94" spans="1:51" s="46" customFormat="1">
      <c r="A94" s="263"/>
      <c r="B94" s="263"/>
      <c r="C94" s="304">
        <v>0</v>
      </c>
      <c r="D94" s="325">
        <v>121.8</v>
      </c>
      <c r="E94" s="447">
        <v>1689.8</v>
      </c>
      <c r="F94" s="326" t="s">
        <v>38</v>
      </c>
      <c r="G94" s="327"/>
      <c r="H94" s="328"/>
      <c r="I94" s="325">
        <v>235</v>
      </c>
      <c r="J94" s="325"/>
      <c r="K94" s="325"/>
      <c r="L94" s="325"/>
      <c r="M94" s="325">
        <v>91.8</v>
      </c>
      <c r="N94" s="325">
        <v>149.5</v>
      </c>
      <c r="O94" s="325"/>
      <c r="P94" s="325"/>
      <c r="Q94" s="325"/>
      <c r="R94" s="325"/>
      <c r="S94" s="294">
        <v>594.63</v>
      </c>
      <c r="T94" s="325"/>
      <c r="U94" s="294">
        <f t="shared" si="54"/>
        <v>1070.93</v>
      </c>
      <c r="V94" s="304">
        <v>1774</v>
      </c>
      <c r="W94" s="297">
        <f t="shared" si="55"/>
        <v>-703.06999999999994</v>
      </c>
      <c r="X94" s="413"/>
      <c r="Y94" s="424"/>
      <c r="Z94" s="429">
        <f t="shared" si="70"/>
        <v>0</v>
      </c>
      <c r="AA94" s="429">
        <f t="shared" si="71"/>
        <v>246.75</v>
      </c>
      <c r="AB94" s="429">
        <f t="shared" si="72"/>
        <v>0</v>
      </c>
      <c r="AC94" s="429">
        <f t="shared" si="73"/>
        <v>0</v>
      </c>
      <c r="AD94" s="429">
        <f t="shared" si="74"/>
        <v>0</v>
      </c>
      <c r="AE94" s="429">
        <f t="shared" si="75"/>
        <v>96.39</v>
      </c>
      <c r="AF94" s="429">
        <f t="shared" si="76"/>
        <v>156.97499999999999</v>
      </c>
      <c r="AG94" s="429">
        <f t="shared" si="77"/>
        <v>0</v>
      </c>
      <c r="AH94" s="429">
        <f t="shared" si="78"/>
        <v>0</v>
      </c>
      <c r="AI94" s="429">
        <f t="shared" si="79"/>
        <v>0</v>
      </c>
      <c r="AJ94" s="429">
        <f t="shared" si="80"/>
        <v>0</v>
      </c>
      <c r="AK94" s="429">
        <f t="shared" si="81"/>
        <v>624.36149999999998</v>
      </c>
      <c r="AL94" s="478">
        <f t="shared" si="57"/>
        <v>1124.4765</v>
      </c>
      <c r="AN94" s="46">
        <f t="shared" si="83"/>
        <v>0</v>
      </c>
      <c r="AO94" s="46">
        <f t="shared" si="84"/>
        <v>11.75</v>
      </c>
      <c r="AP94" s="46">
        <f t="shared" si="85"/>
        <v>0</v>
      </c>
      <c r="AQ94" s="46">
        <f t="shared" si="86"/>
        <v>0</v>
      </c>
      <c r="AR94" s="46">
        <f t="shared" si="87"/>
        <v>0</v>
      </c>
      <c r="AS94" s="46">
        <f t="shared" si="88"/>
        <v>4.59</v>
      </c>
      <c r="AT94" s="46">
        <f t="shared" si="89"/>
        <v>7.4750000000000005</v>
      </c>
      <c r="AU94" s="46">
        <f t="shared" si="90"/>
        <v>0</v>
      </c>
      <c r="AV94" s="46">
        <f t="shared" si="91"/>
        <v>0</v>
      </c>
      <c r="AW94" s="46">
        <f t="shared" si="92"/>
        <v>0</v>
      </c>
      <c r="AX94" s="46">
        <f t="shared" si="93"/>
        <v>0</v>
      </c>
      <c r="AY94" s="46">
        <f t="shared" si="94"/>
        <v>29.7315</v>
      </c>
    </row>
    <row r="95" spans="1:51" s="46" customFormat="1">
      <c r="A95" s="263"/>
      <c r="B95" s="263"/>
      <c r="C95" s="304">
        <v>15090</v>
      </c>
      <c r="D95" s="325">
        <v>15640</v>
      </c>
      <c r="E95" s="447">
        <v>16000</v>
      </c>
      <c r="F95" s="326" t="s">
        <v>39</v>
      </c>
      <c r="G95" s="327"/>
      <c r="H95" s="328"/>
      <c r="I95" s="294"/>
      <c r="J95" s="294"/>
      <c r="K95" s="294"/>
      <c r="L95" s="294"/>
      <c r="M95" s="294"/>
      <c r="N95" s="294"/>
      <c r="O95" s="294">
        <v>20400</v>
      </c>
      <c r="P95" s="294"/>
      <c r="Q95" s="294"/>
      <c r="R95" s="294"/>
      <c r="S95" s="294"/>
      <c r="T95" s="325"/>
      <c r="U95" s="294">
        <f t="shared" si="54"/>
        <v>20400</v>
      </c>
      <c r="V95" s="304">
        <v>16800</v>
      </c>
      <c r="W95" s="297">
        <f t="shared" si="55"/>
        <v>3600</v>
      </c>
      <c r="X95" s="413"/>
      <c r="Y95" s="424"/>
      <c r="Z95" s="429">
        <f t="shared" si="70"/>
        <v>0</v>
      </c>
      <c r="AA95" s="429">
        <f t="shared" si="71"/>
        <v>0</v>
      </c>
      <c r="AB95" s="429">
        <f t="shared" si="72"/>
        <v>0</v>
      </c>
      <c r="AC95" s="429">
        <f t="shared" si="73"/>
        <v>0</v>
      </c>
      <c r="AD95" s="429">
        <f t="shared" si="74"/>
        <v>0</v>
      </c>
      <c r="AE95" s="429">
        <f t="shared" si="75"/>
        <v>0</v>
      </c>
      <c r="AF95" s="429">
        <f t="shared" si="76"/>
        <v>0</v>
      </c>
      <c r="AG95" s="429">
        <f t="shared" si="77"/>
        <v>21420</v>
      </c>
      <c r="AH95" s="429">
        <f t="shared" si="78"/>
        <v>0</v>
      </c>
      <c r="AI95" s="429">
        <f t="shared" si="79"/>
        <v>0</v>
      </c>
      <c r="AJ95" s="429">
        <f t="shared" si="80"/>
        <v>0</v>
      </c>
      <c r="AK95" s="429">
        <f t="shared" si="81"/>
        <v>0</v>
      </c>
      <c r="AL95" s="478">
        <f t="shared" si="57"/>
        <v>21420</v>
      </c>
      <c r="AN95" s="46">
        <f t="shared" si="83"/>
        <v>0</v>
      </c>
      <c r="AO95" s="46">
        <f t="shared" si="84"/>
        <v>0</v>
      </c>
      <c r="AP95" s="46">
        <f t="shared" si="85"/>
        <v>0</v>
      </c>
      <c r="AQ95" s="46">
        <f t="shared" si="86"/>
        <v>0</v>
      </c>
      <c r="AR95" s="46">
        <f t="shared" si="87"/>
        <v>0</v>
      </c>
      <c r="AS95" s="46">
        <f t="shared" si="88"/>
        <v>0</v>
      </c>
      <c r="AT95" s="46">
        <f t="shared" si="89"/>
        <v>0</v>
      </c>
      <c r="AU95" s="46">
        <f t="shared" si="90"/>
        <v>1020</v>
      </c>
      <c r="AV95" s="46">
        <f t="shared" si="91"/>
        <v>0</v>
      </c>
      <c r="AW95" s="46">
        <f t="shared" si="92"/>
        <v>0</v>
      </c>
      <c r="AX95" s="46">
        <f t="shared" si="93"/>
        <v>0</v>
      </c>
      <c r="AY95" s="46">
        <f t="shared" si="94"/>
        <v>0</v>
      </c>
    </row>
    <row r="96" spans="1:51">
      <c r="A96" s="263"/>
      <c r="B96" s="263"/>
      <c r="C96" s="304">
        <v>0</v>
      </c>
      <c r="D96" s="325">
        <v>0</v>
      </c>
      <c r="E96" s="447"/>
      <c r="F96" s="326" t="s">
        <v>54</v>
      </c>
      <c r="G96" s="327"/>
      <c r="H96" s="328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325"/>
      <c r="U96" s="294">
        <f t="shared" si="54"/>
        <v>0</v>
      </c>
      <c r="V96" s="304"/>
      <c r="W96" s="297">
        <f t="shared" si="55"/>
        <v>0</v>
      </c>
      <c r="X96" s="413"/>
      <c r="Y96" s="424"/>
      <c r="Z96" s="429">
        <f t="shared" si="70"/>
        <v>0</v>
      </c>
      <c r="AA96" s="429">
        <f t="shared" si="71"/>
        <v>0</v>
      </c>
      <c r="AB96" s="429">
        <f t="shared" si="72"/>
        <v>0</v>
      </c>
      <c r="AC96" s="429">
        <f t="shared" si="73"/>
        <v>0</v>
      </c>
      <c r="AD96" s="429">
        <f t="shared" si="74"/>
        <v>0</v>
      </c>
      <c r="AE96" s="429">
        <f t="shared" si="75"/>
        <v>0</v>
      </c>
      <c r="AF96" s="429">
        <f t="shared" si="76"/>
        <v>0</v>
      </c>
      <c r="AG96" s="429">
        <f t="shared" si="77"/>
        <v>0</v>
      </c>
      <c r="AH96" s="429">
        <f t="shared" si="78"/>
        <v>0</v>
      </c>
      <c r="AI96" s="429">
        <f t="shared" si="79"/>
        <v>0</v>
      </c>
      <c r="AJ96" s="429">
        <f t="shared" si="80"/>
        <v>0</v>
      </c>
      <c r="AK96" s="429">
        <f t="shared" si="81"/>
        <v>0</v>
      </c>
      <c r="AL96" s="478">
        <f t="shared" si="57"/>
        <v>0</v>
      </c>
      <c r="AN96" s="46">
        <f t="shared" si="83"/>
        <v>0</v>
      </c>
      <c r="AO96" s="46">
        <f t="shared" si="84"/>
        <v>0</v>
      </c>
      <c r="AP96" s="46">
        <f t="shared" si="85"/>
        <v>0</v>
      </c>
      <c r="AQ96" s="46">
        <f t="shared" si="86"/>
        <v>0</v>
      </c>
      <c r="AR96" s="46">
        <f t="shared" si="87"/>
        <v>0</v>
      </c>
      <c r="AS96" s="46">
        <f t="shared" si="88"/>
        <v>0</v>
      </c>
      <c r="AT96" s="46">
        <f t="shared" si="89"/>
        <v>0</v>
      </c>
      <c r="AU96" s="46">
        <f t="shared" si="90"/>
        <v>0</v>
      </c>
      <c r="AV96" s="46">
        <f t="shared" si="91"/>
        <v>0</v>
      </c>
      <c r="AW96" s="46">
        <f t="shared" si="92"/>
        <v>0</v>
      </c>
      <c r="AX96" s="46">
        <f t="shared" si="93"/>
        <v>0</v>
      </c>
      <c r="AY96" s="46">
        <f t="shared" si="94"/>
        <v>0</v>
      </c>
    </row>
    <row r="97" spans="1:52">
      <c r="A97" s="263"/>
      <c r="B97" s="263"/>
      <c r="C97" s="304">
        <v>61.2</v>
      </c>
      <c r="D97" s="294">
        <v>183.98</v>
      </c>
      <c r="E97" s="368"/>
      <c r="F97" s="326" t="s">
        <v>40</v>
      </c>
      <c r="G97" s="327"/>
      <c r="H97" s="328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294"/>
      <c r="T97" s="325"/>
      <c r="U97" s="294">
        <f t="shared" si="54"/>
        <v>0</v>
      </c>
      <c r="V97" s="304"/>
      <c r="W97" s="297">
        <f t="shared" si="55"/>
        <v>0</v>
      </c>
      <c r="X97" s="413"/>
      <c r="Y97" s="424"/>
      <c r="Z97" s="429">
        <f t="shared" si="70"/>
        <v>0</v>
      </c>
      <c r="AA97" s="429">
        <f t="shared" si="71"/>
        <v>0</v>
      </c>
      <c r="AB97" s="429">
        <f t="shared" si="72"/>
        <v>0</v>
      </c>
      <c r="AC97" s="429">
        <f t="shared" si="73"/>
        <v>0</v>
      </c>
      <c r="AD97" s="429">
        <f t="shared" si="74"/>
        <v>0</v>
      </c>
      <c r="AE97" s="429">
        <f t="shared" si="75"/>
        <v>0</v>
      </c>
      <c r="AF97" s="429">
        <f t="shared" si="76"/>
        <v>0</v>
      </c>
      <c r="AG97" s="429">
        <f t="shared" si="77"/>
        <v>0</v>
      </c>
      <c r="AH97" s="429">
        <f t="shared" si="78"/>
        <v>0</v>
      </c>
      <c r="AI97" s="429">
        <f t="shared" si="79"/>
        <v>0</v>
      </c>
      <c r="AJ97" s="429">
        <f t="shared" si="80"/>
        <v>0</v>
      </c>
      <c r="AK97" s="429">
        <f t="shared" si="81"/>
        <v>0</v>
      </c>
      <c r="AL97" s="478">
        <f t="shared" si="57"/>
        <v>0</v>
      </c>
      <c r="AN97" s="46">
        <f t="shared" si="83"/>
        <v>0</v>
      </c>
      <c r="AO97" s="46">
        <f t="shared" si="84"/>
        <v>0</v>
      </c>
      <c r="AP97" s="46">
        <f t="shared" si="85"/>
        <v>0</v>
      </c>
      <c r="AQ97" s="46">
        <f t="shared" si="86"/>
        <v>0</v>
      </c>
      <c r="AR97" s="46">
        <f t="shared" si="87"/>
        <v>0</v>
      </c>
      <c r="AS97" s="46">
        <f t="shared" si="88"/>
        <v>0</v>
      </c>
      <c r="AT97" s="46">
        <f t="shared" si="89"/>
        <v>0</v>
      </c>
      <c r="AU97" s="46">
        <f t="shared" si="90"/>
        <v>0</v>
      </c>
      <c r="AV97" s="46">
        <f t="shared" si="91"/>
        <v>0</v>
      </c>
      <c r="AW97" s="46">
        <f t="shared" si="92"/>
        <v>0</v>
      </c>
      <c r="AX97" s="46">
        <f t="shared" si="93"/>
        <v>0</v>
      </c>
      <c r="AY97" s="46">
        <f t="shared" si="94"/>
        <v>0</v>
      </c>
    </row>
    <row r="98" spans="1:52">
      <c r="A98" s="263"/>
      <c r="B98" s="263"/>
      <c r="C98" s="304">
        <v>0</v>
      </c>
      <c r="D98" s="294">
        <v>0</v>
      </c>
      <c r="E98" s="368">
        <v>2134.4</v>
      </c>
      <c r="F98" s="326" t="s">
        <v>41</v>
      </c>
      <c r="G98" s="327"/>
      <c r="H98" s="328"/>
      <c r="I98" s="325"/>
      <c r="J98" s="325"/>
      <c r="K98" s="325"/>
      <c r="L98" s="325"/>
      <c r="M98" s="325"/>
      <c r="N98" s="325"/>
      <c r="O98" s="325"/>
      <c r="P98" s="325"/>
      <c r="Q98" s="325"/>
      <c r="R98" s="325"/>
      <c r="S98" s="294"/>
      <c r="T98" s="325"/>
      <c r="U98" s="294">
        <f t="shared" si="54"/>
        <v>0</v>
      </c>
      <c r="V98" s="304"/>
      <c r="W98" s="297">
        <f t="shared" si="55"/>
        <v>0</v>
      </c>
      <c r="X98" s="413"/>
      <c r="Y98" s="424"/>
      <c r="Z98" s="429">
        <f t="shared" si="70"/>
        <v>0</v>
      </c>
      <c r="AA98" s="429">
        <f t="shared" si="71"/>
        <v>0</v>
      </c>
      <c r="AB98" s="429">
        <f t="shared" si="72"/>
        <v>0</v>
      </c>
      <c r="AC98" s="429">
        <f t="shared" si="73"/>
        <v>0</v>
      </c>
      <c r="AD98" s="429">
        <f t="shared" si="74"/>
        <v>0</v>
      </c>
      <c r="AE98" s="429">
        <f t="shared" si="75"/>
        <v>0</v>
      </c>
      <c r="AF98" s="429">
        <f t="shared" si="76"/>
        <v>0</v>
      </c>
      <c r="AG98" s="429">
        <f t="shared" si="77"/>
        <v>0</v>
      </c>
      <c r="AH98" s="429">
        <f t="shared" si="78"/>
        <v>0</v>
      </c>
      <c r="AI98" s="429">
        <f t="shared" si="79"/>
        <v>0</v>
      </c>
      <c r="AJ98" s="429">
        <f t="shared" si="80"/>
        <v>0</v>
      </c>
      <c r="AK98" s="429">
        <f t="shared" si="81"/>
        <v>0</v>
      </c>
      <c r="AL98" s="478">
        <f t="shared" si="57"/>
        <v>0</v>
      </c>
      <c r="AN98" s="46">
        <f t="shared" si="83"/>
        <v>0</v>
      </c>
      <c r="AO98" s="46">
        <f t="shared" si="84"/>
        <v>0</v>
      </c>
      <c r="AP98" s="46">
        <f t="shared" si="85"/>
        <v>0</v>
      </c>
      <c r="AQ98" s="46">
        <f t="shared" si="86"/>
        <v>0</v>
      </c>
      <c r="AR98" s="46">
        <f t="shared" si="87"/>
        <v>0</v>
      </c>
      <c r="AS98" s="46">
        <f t="shared" si="88"/>
        <v>0</v>
      </c>
      <c r="AT98" s="46">
        <f t="shared" si="89"/>
        <v>0</v>
      </c>
      <c r="AU98" s="46">
        <f t="shared" si="90"/>
        <v>0</v>
      </c>
      <c r="AV98" s="46">
        <f t="shared" si="91"/>
        <v>0</v>
      </c>
      <c r="AW98" s="46">
        <f t="shared" si="92"/>
        <v>0</v>
      </c>
      <c r="AX98" s="46">
        <f t="shared" si="93"/>
        <v>0</v>
      </c>
      <c r="AY98" s="46">
        <f t="shared" si="94"/>
        <v>0</v>
      </c>
    </row>
    <row r="99" spans="1:52">
      <c r="A99" s="263"/>
      <c r="B99" s="263"/>
      <c r="C99" s="304">
        <v>19496.249999999996</v>
      </c>
      <c r="D99" s="294">
        <v>31103.15</v>
      </c>
      <c r="E99" s="368"/>
      <c r="F99" s="326" t="s">
        <v>42</v>
      </c>
      <c r="G99" s="327"/>
      <c r="H99" s="328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325"/>
      <c r="U99" s="294">
        <f t="shared" si="54"/>
        <v>0</v>
      </c>
      <c r="V99" s="304">
        <v>2241</v>
      </c>
      <c r="W99" s="297">
        <f t="shared" si="55"/>
        <v>-2241</v>
      </c>
      <c r="X99" s="413"/>
      <c r="Y99" s="424"/>
      <c r="Z99" s="429">
        <f t="shared" si="70"/>
        <v>0</v>
      </c>
      <c r="AA99" s="429">
        <f t="shared" si="71"/>
        <v>0</v>
      </c>
      <c r="AB99" s="429">
        <f t="shared" si="72"/>
        <v>0</v>
      </c>
      <c r="AC99" s="429">
        <f t="shared" si="73"/>
        <v>0</v>
      </c>
      <c r="AD99" s="429">
        <f t="shared" si="74"/>
        <v>0</v>
      </c>
      <c r="AE99" s="429">
        <f t="shared" si="75"/>
        <v>0</v>
      </c>
      <c r="AF99" s="429">
        <f t="shared" si="76"/>
        <v>0</v>
      </c>
      <c r="AG99" s="429">
        <f t="shared" si="77"/>
        <v>0</v>
      </c>
      <c r="AH99" s="429">
        <f t="shared" si="78"/>
        <v>0</v>
      </c>
      <c r="AI99" s="429">
        <f t="shared" si="79"/>
        <v>0</v>
      </c>
      <c r="AJ99" s="429">
        <f t="shared" si="80"/>
        <v>0</v>
      </c>
      <c r="AK99" s="429">
        <f t="shared" si="81"/>
        <v>0</v>
      </c>
      <c r="AL99" s="478">
        <f t="shared" si="57"/>
        <v>0</v>
      </c>
      <c r="AN99" s="46">
        <f t="shared" si="83"/>
        <v>0</v>
      </c>
      <c r="AO99" s="46">
        <f t="shared" si="84"/>
        <v>0</v>
      </c>
      <c r="AP99" s="46">
        <f t="shared" si="85"/>
        <v>0</v>
      </c>
      <c r="AQ99" s="46">
        <f t="shared" si="86"/>
        <v>0</v>
      </c>
      <c r="AR99" s="46">
        <f t="shared" si="87"/>
        <v>0</v>
      </c>
      <c r="AS99" s="46">
        <f t="shared" si="88"/>
        <v>0</v>
      </c>
      <c r="AT99" s="46">
        <f t="shared" si="89"/>
        <v>0</v>
      </c>
      <c r="AU99" s="46">
        <f t="shared" si="90"/>
        <v>0</v>
      </c>
      <c r="AV99" s="46">
        <f t="shared" si="91"/>
        <v>0</v>
      </c>
      <c r="AW99" s="46">
        <f t="shared" si="92"/>
        <v>0</v>
      </c>
      <c r="AX99" s="46">
        <f t="shared" si="93"/>
        <v>0</v>
      </c>
      <c r="AY99" s="46">
        <f t="shared" si="94"/>
        <v>0</v>
      </c>
    </row>
    <row r="100" spans="1:52">
      <c r="A100" s="263"/>
      <c r="B100" s="263"/>
      <c r="C100" s="304">
        <v>0</v>
      </c>
      <c r="D100" s="294">
        <v>0</v>
      </c>
      <c r="E100" s="368"/>
      <c r="F100" s="326" t="s">
        <v>61</v>
      </c>
      <c r="G100" s="327"/>
      <c r="H100" s="328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325"/>
      <c r="U100" s="294">
        <f t="shared" si="54"/>
        <v>0</v>
      </c>
      <c r="V100" s="304">
        <v>2327</v>
      </c>
      <c r="W100" s="297">
        <f t="shared" si="55"/>
        <v>-2327</v>
      </c>
      <c r="X100" s="413"/>
      <c r="Y100" s="424"/>
      <c r="Z100" s="429">
        <f t="shared" si="70"/>
        <v>0</v>
      </c>
      <c r="AA100" s="429">
        <f t="shared" si="71"/>
        <v>0</v>
      </c>
      <c r="AB100" s="429">
        <f t="shared" si="72"/>
        <v>0</v>
      </c>
      <c r="AC100" s="429">
        <f t="shared" si="73"/>
        <v>0</v>
      </c>
      <c r="AD100" s="429">
        <f t="shared" si="74"/>
        <v>0</v>
      </c>
      <c r="AE100" s="429">
        <f t="shared" si="75"/>
        <v>0</v>
      </c>
      <c r="AF100" s="429">
        <f t="shared" si="76"/>
        <v>0</v>
      </c>
      <c r="AG100" s="429">
        <f t="shared" si="77"/>
        <v>0</v>
      </c>
      <c r="AH100" s="429">
        <f t="shared" si="78"/>
        <v>0</v>
      </c>
      <c r="AI100" s="429">
        <f t="shared" si="79"/>
        <v>0</v>
      </c>
      <c r="AJ100" s="429">
        <f t="shared" si="80"/>
        <v>0</v>
      </c>
      <c r="AK100" s="429">
        <f t="shared" si="81"/>
        <v>0</v>
      </c>
      <c r="AL100" s="478">
        <f t="shared" si="57"/>
        <v>0</v>
      </c>
      <c r="AN100" s="46">
        <f t="shared" si="83"/>
        <v>0</v>
      </c>
      <c r="AO100" s="46">
        <f t="shared" si="84"/>
        <v>0</v>
      </c>
      <c r="AP100" s="46">
        <f t="shared" si="85"/>
        <v>0</v>
      </c>
      <c r="AQ100" s="46">
        <f t="shared" si="86"/>
        <v>0</v>
      </c>
      <c r="AR100" s="46">
        <f t="shared" si="87"/>
        <v>0</v>
      </c>
      <c r="AS100" s="46">
        <f t="shared" si="88"/>
        <v>0</v>
      </c>
      <c r="AT100" s="46">
        <f t="shared" si="89"/>
        <v>0</v>
      </c>
      <c r="AU100" s="46">
        <f t="shared" si="90"/>
        <v>0</v>
      </c>
      <c r="AV100" s="46">
        <f t="shared" si="91"/>
        <v>0</v>
      </c>
      <c r="AW100" s="46">
        <f t="shared" si="92"/>
        <v>0</v>
      </c>
      <c r="AX100" s="46">
        <f t="shared" si="93"/>
        <v>0</v>
      </c>
      <c r="AY100" s="46">
        <f t="shared" si="94"/>
        <v>0</v>
      </c>
    </row>
    <row r="101" spans="1:52">
      <c r="A101" s="263"/>
      <c r="B101" s="263"/>
      <c r="C101" s="304">
        <v>220</v>
      </c>
      <c r="D101" s="294">
        <v>1273.3600000000001</v>
      </c>
      <c r="E101" s="368">
        <v>3371</v>
      </c>
      <c r="F101" s="326" t="s">
        <v>55</v>
      </c>
      <c r="G101" s="327"/>
      <c r="H101" s="328"/>
      <c r="I101" s="294">
        <v>150</v>
      </c>
      <c r="J101" s="294">
        <v>120</v>
      </c>
      <c r="K101" s="294"/>
      <c r="L101" s="294">
        <v>335.6</v>
      </c>
      <c r="M101" s="294">
        <v>1690.2</v>
      </c>
      <c r="N101" s="294"/>
      <c r="O101" s="294">
        <v>90</v>
      </c>
      <c r="P101" s="294">
        <v>180</v>
      </c>
      <c r="Q101" s="294">
        <v>412</v>
      </c>
      <c r="R101" s="294">
        <v>511.4</v>
      </c>
      <c r="S101" s="294"/>
      <c r="T101" s="325"/>
      <c r="U101" s="294">
        <f t="shared" si="54"/>
        <v>3489.2000000000003</v>
      </c>
      <c r="V101" s="304">
        <v>3478</v>
      </c>
      <c r="W101" s="297">
        <f t="shared" si="55"/>
        <v>11.200000000000273</v>
      </c>
      <c r="X101" s="413"/>
      <c r="Y101" s="424"/>
      <c r="Z101" s="429">
        <f t="shared" si="70"/>
        <v>0</v>
      </c>
      <c r="AA101" s="429">
        <f t="shared" si="71"/>
        <v>157.5</v>
      </c>
      <c r="AB101" s="429">
        <f t="shared" si="72"/>
        <v>126</v>
      </c>
      <c r="AC101" s="429">
        <f t="shared" si="73"/>
        <v>0</v>
      </c>
      <c r="AD101" s="429">
        <f t="shared" si="74"/>
        <v>352.38</v>
      </c>
      <c r="AE101" s="429">
        <f t="shared" si="75"/>
        <v>1774.71</v>
      </c>
      <c r="AF101" s="429">
        <f t="shared" si="76"/>
        <v>0</v>
      </c>
      <c r="AG101" s="429">
        <f t="shared" si="77"/>
        <v>94.5</v>
      </c>
      <c r="AH101" s="429">
        <f t="shared" si="78"/>
        <v>189</v>
      </c>
      <c r="AI101" s="429">
        <f t="shared" si="79"/>
        <v>432.6</v>
      </c>
      <c r="AJ101" s="429">
        <f t="shared" si="80"/>
        <v>536.97</v>
      </c>
      <c r="AK101" s="429">
        <f t="shared" si="81"/>
        <v>0</v>
      </c>
      <c r="AL101" s="478">
        <f t="shared" si="57"/>
        <v>3663.66</v>
      </c>
      <c r="AN101" s="46">
        <f t="shared" si="83"/>
        <v>0</v>
      </c>
      <c r="AO101" s="46">
        <f t="shared" si="84"/>
        <v>7.5</v>
      </c>
      <c r="AP101" s="46">
        <f t="shared" si="85"/>
        <v>6</v>
      </c>
      <c r="AQ101" s="46">
        <f t="shared" si="86"/>
        <v>0</v>
      </c>
      <c r="AR101" s="46">
        <f t="shared" si="87"/>
        <v>16.78</v>
      </c>
      <c r="AS101" s="46">
        <f t="shared" si="88"/>
        <v>84.51</v>
      </c>
      <c r="AT101" s="46">
        <f t="shared" si="89"/>
        <v>0</v>
      </c>
      <c r="AU101" s="46">
        <f t="shared" si="90"/>
        <v>4.5</v>
      </c>
      <c r="AV101" s="46">
        <f t="shared" si="91"/>
        <v>9</v>
      </c>
      <c r="AW101" s="46">
        <f t="shared" si="92"/>
        <v>20.6</v>
      </c>
      <c r="AX101" s="46">
        <f t="shared" si="93"/>
        <v>25.57</v>
      </c>
      <c r="AY101" s="46">
        <f t="shared" si="94"/>
        <v>0</v>
      </c>
    </row>
    <row r="102" spans="1:52">
      <c r="A102" s="263"/>
      <c r="B102" s="263"/>
      <c r="C102" s="304">
        <v>12538</v>
      </c>
      <c r="D102" s="294">
        <v>0</v>
      </c>
      <c r="E102" s="368">
        <v>112</v>
      </c>
      <c r="F102" s="326" t="s">
        <v>14</v>
      </c>
      <c r="G102" s="327"/>
      <c r="H102" s="328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>
        <v>12000</v>
      </c>
      <c r="T102" s="325"/>
      <c r="U102" s="294">
        <f t="shared" si="54"/>
        <v>12000</v>
      </c>
      <c r="V102" s="304">
        <v>4725</v>
      </c>
      <c r="W102" s="297">
        <f t="shared" si="55"/>
        <v>7275</v>
      </c>
      <c r="X102" s="413"/>
      <c r="Y102" s="424"/>
      <c r="Z102" s="429">
        <f t="shared" si="70"/>
        <v>0</v>
      </c>
      <c r="AA102" s="429">
        <f t="shared" si="71"/>
        <v>0</v>
      </c>
      <c r="AB102" s="429">
        <f t="shared" si="72"/>
        <v>0</v>
      </c>
      <c r="AC102" s="429">
        <f t="shared" si="73"/>
        <v>0</v>
      </c>
      <c r="AD102" s="429">
        <f t="shared" si="74"/>
        <v>0</v>
      </c>
      <c r="AE102" s="429">
        <f t="shared" si="75"/>
        <v>0</v>
      </c>
      <c r="AF102" s="429">
        <f t="shared" si="76"/>
        <v>0</v>
      </c>
      <c r="AG102" s="429">
        <f t="shared" si="77"/>
        <v>0</v>
      </c>
      <c r="AH102" s="429">
        <f t="shared" si="78"/>
        <v>0</v>
      </c>
      <c r="AI102" s="429">
        <f t="shared" si="79"/>
        <v>0</v>
      </c>
      <c r="AJ102" s="429">
        <f t="shared" si="80"/>
        <v>0</v>
      </c>
      <c r="AK102" s="429">
        <f t="shared" si="81"/>
        <v>12600</v>
      </c>
      <c r="AL102" s="478">
        <f t="shared" si="57"/>
        <v>12600</v>
      </c>
      <c r="AN102" s="46">
        <f t="shared" si="83"/>
        <v>0</v>
      </c>
      <c r="AO102" s="46">
        <f t="shared" si="84"/>
        <v>0</v>
      </c>
      <c r="AP102" s="46">
        <f t="shared" si="85"/>
        <v>0</v>
      </c>
      <c r="AQ102" s="46">
        <f t="shared" si="86"/>
        <v>0</v>
      </c>
      <c r="AR102" s="46">
        <f t="shared" si="87"/>
        <v>0</v>
      </c>
      <c r="AS102" s="46">
        <f t="shared" si="88"/>
        <v>0</v>
      </c>
      <c r="AT102" s="46">
        <f t="shared" si="89"/>
        <v>0</v>
      </c>
      <c r="AU102" s="46">
        <f t="shared" si="90"/>
        <v>0</v>
      </c>
      <c r="AV102" s="46">
        <f t="shared" si="91"/>
        <v>0</v>
      </c>
      <c r="AW102" s="46">
        <f t="shared" si="92"/>
        <v>0</v>
      </c>
      <c r="AX102" s="46">
        <f t="shared" si="93"/>
        <v>0</v>
      </c>
      <c r="AY102" s="46">
        <f t="shared" si="94"/>
        <v>600</v>
      </c>
    </row>
    <row r="103" spans="1:52">
      <c r="A103" s="263"/>
      <c r="B103" s="263"/>
      <c r="C103" s="304">
        <v>10087</v>
      </c>
      <c r="D103" s="294">
        <v>20023.060000000001</v>
      </c>
      <c r="E103" s="368">
        <v>15992.63</v>
      </c>
      <c r="F103" s="326" t="s">
        <v>56</v>
      </c>
      <c r="G103" s="327"/>
      <c r="H103" s="328">
        <v>1661</v>
      </c>
      <c r="I103" s="294">
        <v>870</v>
      </c>
      <c r="J103" s="294">
        <v>1316</v>
      </c>
      <c r="K103" s="294">
        <v>1062</v>
      </c>
      <c r="L103" s="294">
        <v>1029</v>
      </c>
      <c r="M103" s="294">
        <v>1012</v>
      </c>
      <c r="N103" s="294"/>
      <c r="O103" s="294">
        <v>1061</v>
      </c>
      <c r="P103" s="294"/>
      <c r="Q103" s="294"/>
      <c r="R103" s="294"/>
      <c r="S103" s="294"/>
      <c r="T103" s="325"/>
      <c r="U103" s="294">
        <f t="shared" si="54"/>
        <v>8011</v>
      </c>
      <c r="V103" s="304">
        <v>4550</v>
      </c>
      <c r="W103" s="297">
        <f t="shared" si="55"/>
        <v>3461</v>
      </c>
      <c r="X103" s="413"/>
      <c r="Y103" s="424"/>
      <c r="Z103" s="429">
        <f t="shared" si="70"/>
        <v>1744.05</v>
      </c>
      <c r="AA103" s="429">
        <f t="shared" si="71"/>
        <v>913.5</v>
      </c>
      <c r="AB103" s="429">
        <f t="shared" si="72"/>
        <v>1381.8</v>
      </c>
      <c r="AC103" s="429">
        <f t="shared" si="73"/>
        <v>1115.0999999999999</v>
      </c>
      <c r="AD103" s="429">
        <f t="shared" si="74"/>
        <v>1080.45</v>
      </c>
      <c r="AE103" s="429">
        <f t="shared" si="75"/>
        <v>1062.5999999999999</v>
      </c>
      <c r="AF103" s="429">
        <f t="shared" si="76"/>
        <v>0</v>
      </c>
      <c r="AG103" s="429">
        <f t="shared" si="77"/>
        <v>1114.05</v>
      </c>
      <c r="AH103" s="429">
        <f t="shared" si="78"/>
        <v>0</v>
      </c>
      <c r="AI103" s="429">
        <f t="shared" si="79"/>
        <v>0</v>
      </c>
      <c r="AJ103" s="429">
        <f t="shared" si="80"/>
        <v>0</v>
      </c>
      <c r="AK103" s="429">
        <f t="shared" si="81"/>
        <v>0</v>
      </c>
      <c r="AL103" s="478">
        <f t="shared" si="57"/>
        <v>8411.5499999999993</v>
      </c>
      <c r="AN103" s="46">
        <f t="shared" si="83"/>
        <v>83.050000000000011</v>
      </c>
      <c r="AO103" s="46">
        <f t="shared" si="84"/>
        <v>43.5</v>
      </c>
      <c r="AP103" s="46">
        <f t="shared" si="85"/>
        <v>65.8</v>
      </c>
      <c r="AQ103" s="46">
        <f t="shared" si="86"/>
        <v>53.1</v>
      </c>
      <c r="AR103" s="46">
        <f t="shared" si="87"/>
        <v>51.45</v>
      </c>
      <c r="AS103" s="46">
        <f t="shared" si="88"/>
        <v>50.6</v>
      </c>
      <c r="AT103" s="46">
        <f t="shared" si="89"/>
        <v>0</v>
      </c>
      <c r="AU103" s="46">
        <f t="shared" si="90"/>
        <v>53.050000000000004</v>
      </c>
      <c r="AV103" s="46">
        <f t="shared" si="91"/>
        <v>0</v>
      </c>
      <c r="AW103" s="46">
        <f t="shared" si="92"/>
        <v>0</v>
      </c>
      <c r="AX103" s="46">
        <f t="shared" si="93"/>
        <v>0</v>
      </c>
      <c r="AY103" s="46">
        <f t="shared" si="94"/>
        <v>0</v>
      </c>
    </row>
    <row r="104" spans="1:52">
      <c r="A104" s="263"/>
      <c r="B104" s="263"/>
      <c r="C104" s="304">
        <v>2970</v>
      </c>
      <c r="D104" s="294">
        <v>7250</v>
      </c>
      <c r="E104" s="368">
        <v>22338.28</v>
      </c>
      <c r="F104" s="326" t="s">
        <v>47</v>
      </c>
      <c r="G104" s="327"/>
      <c r="H104" s="328"/>
      <c r="I104" s="294"/>
      <c r="J104" s="294">
        <v>5231</v>
      </c>
      <c r="K104" s="294"/>
      <c r="L104" s="294"/>
      <c r="M104" s="294">
        <v>7500</v>
      </c>
      <c r="N104" s="294"/>
      <c r="O104" s="294">
        <v>480</v>
      </c>
      <c r="P104" s="294">
        <v>6049.01</v>
      </c>
      <c r="Q104" s="294">
        <v>6300</v>
      </c>
      <c r="R104" s="294">
        <v>9592</v>
      </c>
      <c r="S104" s="294">
        <v>3630</v>
      </c>
      <c r="T104" s="325"/>
      <c r="U104" s="294">
        <f t="shared" si="54"/>
        <v>38782.01</v>
      </c>
      <c r="V104" s="304">
        <v>216076</v>
      </c>
      <c r="W104" s="297">
        <f t="shared" si="55"/>
        <v>-177293.99</v>
      </c>
      <c r="X104" s="413"/>
      <c r="Y104" s="424"/>
      <c r="Z104" s="429">
        <f t="shared" si="70"/>
        <v>0</v>
      </c>
      <c r="AA104" s="429">
        <f t="shared" si="71"/>
        <v>0</v>
      </c>
      <c r="AB104" s="429">
        <f t="shared" si="72"/>
        <v>5492.55</v>
      </c>
      <c r="AC104" s="429">
        <f t="shared" si="73"/>
        <v>0</v>
      </c>
      <c r="AD104" s="429">
        <f t="shared" si="74"/>
        <v>0</v>
      </c>
      <c r="AE104" s="429">
        <f t="shared" si="75"/>
        <v>7875</v>
      </c>
      <c r="AF104" s="429">
        <f t="shared" si="76"/>
        <v>0</v>
      </c>
      <c r="AG104" s="429">
        <f t="shared" si="77"/>
        <v>504</v>
      </c>
      <c r="AH104" s="429">
        <f t="shared" si="78"/>
        <v>6351.4605000000001</v>
      </c>
      <c r="AI104" s="429">
        <f t="shared" si="79"/>
        <v>6615</v>
      </c>
      <c r="AJ104" s="429">
        <f t="shared" si="80"/>
        <v>10071.6</v>
      </c>
      <c r="AK104" s="429">
        <f t="shared" si="81"/>
        <v>3811.5</v>
      </c>
      <c r="AL104" s="478">
        <f t="shared" si="57"/>
        <v>40721.110500000003</v>
      </c>
      <c r="AN104" s="46">
        <f t="shared" si="83"/>
        <v>0</v>
      </c>
      <c r="AO104" s="46">
        <f t="shared" si="84"/>
        <v>0</v>
      </c>
      <c r="AP104" s="46">
        <f t="shared" si="85"/>
        <v>261.55</v>
      </c>
      <c r="AQ104" s="46">
        <f t="shared" si="86"/>
        <v>0</v>
      </c>
      <c r="AR104" s="46">
        <f t="shared" si="87"/>
        <v>0</v>
      </c>
      <c r="AS104" s="46">
        <f t="shared" si="88"/>
        <v>375</v>
      </c>
      <c r="AT104" s="46">
        <f t="shared" si="89"/>
        <v>0</v>
      </c>
      <c r="AU104" s="46">
        <f t="shared" si="90"/>
        <v>24</v>
      </c>
      <c r="AV104" s="46">
        <f t="shared" si="91"/>
        <v>302.45050000000003</v>
      </c>
      <c r="AW104" s="46">
        <f t="shared" si="92"/>
        <v>315</v>
      </c>
      <c r="AX104" s="46">
        <f t="shared" si="93"/>
        <v>479.6</v>
      </c>
      <c r="AY104" s="46">
        <f t="shared" si="94"/>
        <v>181.5</v>
      </c>
    </row>
    <row r="105" spans="1:52">
      <c r="A105" s="263"/>
      <c r="B105" s="263"/>
      <c r="C105" s="304">
        <v>0</v>
      </c>
      <c r="D105" s="294">
        <v>6651.0300000000007</v>
      </c>
      <c r="E105" s="368">
        <v>17531.900000000001</v>
      </c>
      <c r="F105" s="326" t="s">
        <v>0</v>
      </c>
      <c r="G105" s="327"/>
      <c r="H105" s="328"/>
      <c r="I105" s="294"/>
      <c r="J105" s="294"/>
      <c r="K105" s="294"/>
      <c r="L105" s="294"/>
      <c r="M105" s="294">
        <v>8534.48</v>
      </c>
      <c r="N105" s="294">
        <v>1215</v>
      </c>
      <c r="O105" s="294"/>
      <c r="P105" s="294"/>
      <c r="Q105" s="294"/>
      <c r="R105" s="294"/>
      <c r="S105" s="294"/>
      <c r="T105" s="325"/>
      <c r="U105" s="294">
        <f t="shared" si="54"/>
        <v>9749.48</v>
      </c>
      <c r="V105" s="304">
        <v>18408</v>
      </c>
      <c r="W105" s="297">
        <f t="shared" si="55"/>
        <v>-8658.52</v>
      </c>
      <c r="X105" s="413"/>
      <c r="Y105" s="424"/>
      <c r="Z105" s="429">
        <f t="shared" si="70"/>
        <v>0</v>
      </c>
      <c r="AA105" s="429">
        <f t="shared" si="71"/>
        <v>0</v>
      </c>
      <c r="AB105" s="429">
        <f t="shared" si="72"/>
        <v>0</v>
      </c>
      <c r="AC105" s="429">
        <f t="shared" si="73"/>
        <v>0</v>
      </c>
      <c r="AD105" s="429">
        <f t="shared" si="74"/>
        <v>0</v>
      </c>
      <c r="AE105" s="429">
        <f t="shared" si="75"/>
        <v>8961.2039999999997</v>
      </c>
      <c r="AF105" s="429">
        <f t="shared" si="76"/>
        <v>1275.75</v>
      </c>
      <c r="AG105" s="429">
        <f t="shared" si="77"/>
        <v>0</v>
      </c>
      <c r="AH105" s="429">
        <f t="shared" si="78"/>
        <v>0</v>
      </c>
      <c r="AI105" s="429">
        <f t="shared" si="79"/>
        <v>0</v>
      </c>
      <c r="AJ105" s="429">
        <f t="shared" si="80"/>
        <v>0</v>
      </c>
      <c r="AK105" s="429">
        <f t="shared" si="81"/>
        <v>0</v>
      </c>
      <c r="AL105" s="478">
        <f t="shared" si="57"/>
        <v>10236.954</v>
      </c>
      <c r="AN105" s="46">
        <f t="shared" si="83"/>
        <v>0</v>
      </c>
      <c r="AO105" s="46">
        <f t="shared" si="84"/>
        <v>0</v>
      </c>
      <c r="AP105" s="46">
        <f t="shared" si="85"/>
        <v>0</v>
      </c>
      <c r="AQ105" s="46">
        <f t="shared" si="86"/>
        <v>0</v>
      </c>
      <c r="AR105" s="46">
        <f t="shared" si="87"/>
        <v>0</v>
      </c>
      <c r="AS105" s="46">
        <f t="shared" si="88"/>
        <v>426.72399999999999</v>
      </c>
      <c r="AT105" s="46">
        <f t="shared" si="89"/>
        <v>60.75</v>
      </c>
      <c r="AU105" s="46">
        <f t="shared" si="90"/>
        <v>0</v>
      </c>
      <c r="AV105" s="46">
        <f t="shared" si="91"/>
        <v>0</v>
      </c>
      <c r="AW105" s="46">
        <f t="shared" si="92"/>
        <v>0</v>
      </c>
      <c r="AX105" s="46">
        <f t="shared" si="93"/>
        <v>0</v>
      </c>
      <c r="AY105" s="46">
        <f t="shared" si="94"/>
        <v>0</v>
      </c>
    </row>
    <row r="106" spans="1:52">
      <c r="A106" s="263"/>
      <c r="B106" s="263"/>
      <c r="C106" s="304">
        <v>0</v>
      </c>
      <c r="D106" s="294">
        <v>1932.08</v>
      </c>
      <c r="E106" s="368"/>
      <c r="F106" s="326" t="s">
        <v>43</v>
      </c>
      <c r="G106" s="327"/>
      <c r="H106" s="328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294"/>
      <c r="T106" s="325"/>
      <c r="U106" s="294">
        <f t="shared" si="54"/>
        <v>0</v>
      </c>
      <c r="V106" s="304"/>
      <c r="W106" s="297">
        <f t="shared" si="55"/>
        <v>0</v>
      </c>
      <c r="X106" s="413"/>
      <c r="Y106" s="424"/>
      <c r="Z106" s="429">
        <f t="shared" si="70"/>
        <v>0</v>
      </c>
      <c r="AA106" s="429">
        <f t="shared" si="71"/>
        <v>0</v>
      </c>
      <c r="AB106" s="429">
        <f t="shared" si="72"/>
        <v>0</v>
      </c>
      <c r="AC106" s="429">
        <f t="shared" si="73"/>
        <v>0</v>
      </c>
      <c r="AD106" s="429">
        <f t="shared" si="74"/>
        <v>0</v>
      </c>
      <c r="AE106" s="429">
        <f t="shared" si="75"/>
        <v>0</v>
      </c>
      <c r="AF106" s="429">
        <f t="shared" si="76"/>
        <v>0</v>
      </c>
      <c r="AG106" s="429">
        <f t="shared" si="77"/>
        <v>0</v>
      </c>
      <c r="AH106" s="429">
        <f t="shared" si="78"/>
        <v>0</v>
      </c>
      <c r="AI106" s="429">
        <f t="shared" si="79"/>
        <v>0</v>
      </c>
      <c r="AJ106" s="429">
        <f t="shared" si="80"/>
        <v>0</v>
      </c>
      <c r="AK106" s="429">
        <f t="shared" si="81"/>
        <v>0</v>
      </c>
      <c r="AL106" s="478">
        <f t="shared" si="57"/>
        <v>0</v>
      </c>
      <c r="AN106" s="46">
        <f t="shared" si="83"/>
        <v>0</v>
      </c>
      <c r="AO106" s="46">
        <f t="shared" si="84"/>
        <v>0</v>
      </c>
      <c r="AP106" s="46">
        <f t="shared" si="85"/>
        <v>0</v>
      </c>
      <c r="AQ106" s="46">
        <f t="shared" si="86"/>
        <v>0</v>
      </c>
      <c r="AR106" s="46">
        <f t="shared" si="87"/>
        <v>0</v>
      </c>
      <c r="AS106" s="46">
        <f t="shared" si="88"/>
        <v>0</v>
      </c>
      <c r="AT106" s="46">
        <f t="shared" si="89"/>
        <v>0</v>
      </c>
      <c r="AU106" s="46">
        <f t="shared" si="90"/>
        <v>0</v>
      </c>
      <c r="AV106" s="46">
        <f t="shared" si="91"/>
        <v>0</v>
      </c>
      <c r="AW106" s="46">
        <f t="shared" si="92"/>
        <v>0</v>
      </c>
      <c r="AX106" s="46">
        <f t="shared" si="93"/>
        <v>0</v>
      </c>
      <c r="AY106" s="46">
        <f t="shared" si="94"/>
        <v>0</v>
      </c>
    </row>
    <row r="107" spans="1:52">
      <c r="A107" s="263"/>
      <c r="B107" s="263"/>
      <c r="C107" s="304"/>
      <c r="D107" s="294"/>
      <c r="E107" s="368">
        <v>82878</v>
      </c>
      <c r="F107" s="326" t="s">
        <v>319</v>
      </c>
      <c r="G107" s="327"/>
      <c r="H107" s="328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294"/>
      <c r="T107" s="325"/>
      <c r="U107" s="294">
        <f t="shared" si="54"/>
        <v>0</v>
      </c>
      <c r="V107" s="304">
        <v>87022</v>
      </c>
      <c r="W107" s="297">
        <f t="shared" si="55"/>
        <v>-87022</v>
      </c>
      <c r="X107" s="413"/>
      <c r="Y107" s="424"/>
      <c r="Z107" s="429">
        <f t="shared" si="70"/>
        <v>0</v>
      </c>
      <c r="AA107" s="429">
        <f t="shared" si="71"/>
        <v>0</v>
      </c>
      <c r="AB107" s="429">
        <f t="shared" si="72"/>
        <v>0</v>
      </c>
      <c r="AC107" s="429">
        <f t="shared" si="73"/>
        <v>0</v>
      </c>
      <c r="AD107" s="429">
        <f t="shared" si="74"/>
        <v>0</v>
      </c>
      <c r="AE107" s="429">
        <f t="shared" si="75"/>
        <v>0</v>
      </c>
      <c r="AF107" s="429">
        <f t="shared" si="76"/>
        <v>0</v>
      </c>
      <c r="AG107" s="429">
        <f t="shared" si="77"/>
        <v>0</v>
      </c>
      <c r="AH107" s="429">
        <f t="shared" si="78"/>
        <v>0</v>
      </c>
      <c r="AI107" s="429">
        <f t="shared" si="79"/>
        <v>0</v>
      </c>
      <c r="AJ107" s="429">
        <f t="shared" si="80"/>
        <v>0</v>
      </c>
      <c r="AK107" s="429">
        <f t="shared" si="81"/>
        <v>0</v>
      </c>
      <c r="AL107" s="478">
        <f t="shared" si="57"/>
        <v>0</v>
      </c>
      <c r="AN107" s="46">
        <f t="shared" si="83"/>
        <v>0</v>
      </c>
      <c r="AO107" s="46">
        <f t="shared" si="84"/>
        <v>0</v>
      </c>
      <c r="AP107" s="46">
        <f t="shared" si="85"/>
        <v>0</v>
      </c>
      <c r="AQ107" s="46">
        <f t="shared" si="86"/>
        <v>0</v>
      </c>
      <c r="AR107" s="46">
        <f t="shared" si="87"/>
        <v>0</v>
      </c>
      <c r="AS107" s="46">
        <f t="shared" si="88"/>
        <v>0</v>
      </c>
      <c r="AT107" s="46">
        <f t="shared" si="89"/>
        <v>0</v>
      </c>
      <c r="AU107" s="46">
        <f t="shared" si="90"/>
        <v>0</v>
      </c>
      <c r="AV107" s="46">
        <f t="shared" si="91"/>
        <v>0</v>
      </c>
      <c r="AW107" s="46">
        <f t="shared" si="92"/>
        <v>0</v>
      </c>
      <c r="AX107" s="46">
        <f t="shared" si="93"/>
        <v>0</v>
      </c>
      <c r="AY107" s="46">
        <f t="shared" si="94"/>
        <v>0</v>
      </c>
    </row>
    <row r="108" spans="1:52" s="261" customFormat="1">
      <c r="A108" s="425"/>
      <c r="B108" s="425"/>
      <c r="C108" s="297">
        <f>881177.57-73768</f>
        <v>807409.57</v>
      </c>
      <c r="D108" s="294">
        <f>1502575.02-417416</f>
        <v>1085159.02</v>
      </c>
      <c r="E108" s="368">
        <f>2787064.76-1415387</f>
        <v>1371677.7599999998</v>
      </c>
      <c r="F108" s="369" t="s">
        <v>72</v>
      </c>
      <c r="G108" s="486"/>
      <c r="H108" s="294">
        <v>40469.564400000003</v>
      </c>
      <c r="I108" s="294">
        <v>260654.73199999999</v>
      </c>
      <c r="J108" s="294">
        <v>321604.06719999999</v>
      </c>
      <c r="K108" s="294">
        <v>111703.49679999996</v>
      </c>
      <c r="L108" s="294">
        <v>116596.13320000001</v>
      </c>
      <c r="M108" s="294">
        <v>218931.3996</v>
      </c>
      <c r="N108" s="294">
        <v>78910.324399999998</v>
      </c>
      <c r="O108" s="294">
        <v>121835.43</v>
      </c>
      <c r="P108" s="294">
        <v>119662.766</v>
      </c>
      <c r="Q108" s="294">
        <v>127966.708</v>
      </c>
      <c r="R108" s="294">
        <v>158872.61399999997</v>
      </c>
      <c r="S108" s="294">
        <v>83048.265599999984</v>
      </c>
      <c r="T108" s="294"/>
      <c r="U108" s="294">
        <f t="shared" si="54"/>
        <v>1760255.5012000003</v>
      </c>
      <c r="V108" s="297">
        <v>1495054</v>
      </c>
      <c r="W108" s="297">
        <f t="shared" si="55"/>
        <v>265201.50120000029</v>
      </c>
      <c r="X108" s="487"/>
      <c r="Y108" s="488"/>
      <c r="Z108" s="489">
        <f t="shared" si="70"/>
        <v>42493.04262</v>
      </c>
      <c r="AA108" s="489">
        <f t="shared" ref="AA108:AK108" si="95">+I108+AO108-AA158</f>
        <v>220641.38859999995</v>
      </c>
      <c r="AB108" s="489">
        <f t="shared" si="95"/>
        <v>284638.19055999996</v>
      </c>
      <c r="AC108" s="489">
        <f t="shared" si="95"/>
        <v>64242.591639999955</v>
      </c>
      <c r="AD108" s="489">
        <f t="shared" si="95"/>
        <v>69379.859860000011</v>
      </c>
      <c r="AE108" s="489">
        <f t="shared" si="95"/>
        <v>176831.88958000002</v>
      </c>
      <c r="AF108" s="489">
        <f t="shared" si="95"/>
        <v>29809.760620000001</v>
      </c>
      <c r="AG108" s="489">
        <f t="shared" si="95"/>
        <v>74881.121499999994</v>
      </c>
      <c r="AH108" s="489">
        <f t="shared" si="95"/>
        <v>72599.824300000007</v>
      </c>
      <c r="AI108" s="489">
        <f t="shared" si="95"/>
        <v>81318.963399999993</v>
      </c>
      <c r="AJ108" s="489">
        <f t="shared" si="95"/>
        <v>113770.16469999998</v>
      </c>
      <c r="AK108" s="489">
        <f t="shared" si="95"/>
        <v>34154.598879999976</v>
      </c>
      <c r="AL108" s="490">
        <f t="shared" si="57"/>
        <v>1264761.3962599998</v>
      </c>
      <c r="AN108" s="422">
        <f t="shared" si="83"/>
        <v>2023.4782200000002</v>
      </c>
      <c r="AO108" s="422">
        <f t="shared" si="84"/>
        <v>13032.7366</v>
      </c>
      <c r="AP108" s="422">
        <f t="shared" si="85"/>
        <v>16080.20336</v>
      </c>
      <c r="AQ108" s="422">
        <f t="shared" si="86"/>
        <v>5585.1748399999988</v>
      </c>
      <c r="AR108" s="422">
        <f t="shared" si="87"/>
        <v>5829.8066600000011</v>
      </c>
      <c r="AS108" s="422">
        <f t="shared" si="88"/>
        <v>10946.56998</v>
      </c>
      <c r="AT108" s="422">
        <f t="shared" si="89"/>
        <v>3945.51622</v>
      </c>
      <c r="AU108" s="422">
        <f t="shared" si="90"/>
        <v>6091.7714999999998</v>
      </c>
      <c r="AV108" s="422">
        <f t="shared" si="91"/>
        <v>5983.1383000000005</v>
      </c>
      <c r="AW108" s="422">
        <f t="shared" si="92"/>
        <v>6398.3353999999999</v>
      </c>
      <c r="AX108" s="422">
        <f t="shared" si="93"/>
        <v>7943.6306999999988</v>
      </c>
      <c r="AY108" s="422">
        <f t="shared" si="94"/>
        <v>4152.4132799999998</v>
      </c>
      <c r="AZ108" s="422"/>
    </row>
    <row r="109" spans="1:52">
      <c r="A109" s="263"/>
      <c r="B109" s="263"/>
      <c r="C109" s="304"/>
      <c r="D109" s="325">
        <v>164115.6</v>
      </c>
      <c r="E109" s="447">
        <v>151064.85999999999</v>
      </c>
      <c r="F109" s="337" t="s">
        <v>60</v>
      </c>
      <c r="G109" s="338"/>
      <c r="H109" s="304"/>
      <c r="I109" s="304">
        <v>116700</v>
      </c>
      <c r="J109" s="304">
        <v>3132.5</v>
      </c>
      <c r="K109" s="304"/>
      <c r="L109" s="304">
        <v>25507</v>
      </c>
      <c r="M109" s="304">
        <v>86372</v>
      </c>
      <c r="N109" s="304"/>
      <c r="O109" s="304"/>
      <c r="P109" s="304"/>
      <c r="Q109" s="304">
        <v>11663.5</v>
      </c>
      <c r="R109" s="304">
        <v>2660</v>
      </c>
      <c r="S109" s="294">
        <v>2341.1999999999998</v>
      </c>
      <c r="T109" s="325"/>
      <c r="U109" s="294">
        <f t="shared" si="54"/>
        <v>248376.2</v>
      </c>
      <c r="V109" s="304">
        <v>225478</v>
      </c>
      <c r="W109" s="297">
        <f t="shared" si="55"/>
        <v>22898.200000000012</v>
      </c>
      <c r="X109" s="413"/>
      <c r="Y109" s="424"/>
      <c r="Z109" s="432">
        <f t="shared" si="70"/>
        <v>0</v>
      </c>
      <c r="AA109" s="432">
        <f t="shared" si="71"/>
        <v>122535</v>
      </c>
      <c r="AB109" s="432">
        <f t="shared" si="72"/>
        <v>3289.125</v>
      </c>
      <c r="AC109" s="432">
        <f t="shared" si="73"/>
        <v>0</v>
      </c>
      <c r="AD109" s="432">
        <f t="shared" si="74"/>
        <v>26782.35</v>
      </c>
      <c r="AE109" s="432">
        <f t="shared" si="75"/>
        <v>90690.6</v>
      </c>
      <c r="AF109" s="432">
        <f t="shared" si="76"/>
        <v>0</v>
      </c>
      <c r="AG109" s="432">
        <f t="shared" si="77"/>
        <v>0</v>
      </c>
      <c r="AH109" s="432">
        <f t="shared" si="78"/>
        <v>0</v>
      </c>
      <c r="AI109" s="432">
        <f t="shared" si="79"/>
        <v>12246.674999999999</v>
      </c>
      <c r="AJ109" s="432">
        <f t="shared" si="80"/>
        <v>2793</v>
      </c>
      <c r="AK109" s="432">
        <f t="shared" si="81"/>
        <v>2458.2599999999998</v>
      </c>
      <c r="AL109" s="480">
        <f t="shared" si="57"/>
        <v>260795.01</v>
      </c>
      <c r="AN109" s="46">
        <f t="shared" si="83"/>
        <v>0</v>
      </c>
      <c r="AO109" s="46">
        <f t="shared" si="84"/>
        <v>5835</v>
      </c>
      <c r="AP109" s="46">
        <f t="shared" si="85"/>
        <v>156.625</v>
      </c>
      <c r="AQ109" s="46">
        <f t="shared" si="86"/>
        <v>0</v>
      </c>
      <c r="AR109" s="46">
        <f t="shared" si="87"/>
        <v>1275.3500000000001</v>
      </c>
      <c r="AS109" s="46">
        <f t="shared" si="88"/>
        <v>4318.6000000000004</v>
      </c>
      <c r="AT109" s="46">
        <f t="shared" si="89"/>
        <v>0</v>
      </c>
      <c r="AU109" s="46">
        <f t="shared" si="90"/>
        <v>0</v>
      </c>
      <c r="AV109" s="46">
        <f t="shared" si="91"/>
        <v>0</v>
      </c>
      <c r="AW109" s="46">
        <f t="shared" si="92"/>
        <v>583.17500000000007</v>
      </c>
      <c r="AX109" s="46">
        <f t="shared" si="93"/>
        <v>133</v>
      </c>
      <c r="AY109" s="46">
        <f t="shared" si="94"/>
        <v>117.06</v>
      </c>
    </row>
    <row r="110" spans="1:52" ht="15">
      <c r="A110" s="263"/>
      <c r="B110" s="263"/>
      <c r="C110" s="311">
        <f>SUM(C66:C109)</f>
        <v>10041655.905999998</v>
      </c>
      <c r="D110" s="311">
        <f>SUM(D66:D109)</f>
        <v>11990478.950000001</v>
      </c>
      <c r="E110" s="311">
        <f>SUM(E66:E109)</f>
        <v>12934037.490000002</v>
      </c>
      <c r="F110" s="339" t="s">
        <v>98</v>
      </c>
      <c r="G110" s="340"/>
      <c r="H110" s="311">
        <f t="shared" ref="H110:W110" si="96">SUM(H66:H109)</f>
        <v>844230.92440000002</v>
      </c>
      <c r="I110" s="311">
        <f t="shared" si="96"/>
        <v>1118405.8119999999</v>
      </c>
      <c r="J110" s="311">
        <f t="shared" si="96"/>
        <v>1509445.3171999999</v>
      </c>
      <c r="K110" s="311">
        <f t="shared" si="96"/>
        <v>959302.94679999992</v>
      </c>
      <c r="L110" s="311">
        <f t="shared" si="96"/>
        <v>1151858.5231999999</v>
      </c>
      <c r="M110" s="311">
        <f t="shared" si="96"/>
        <v>1604035.9696000004</v>
      </c>
      <c r="N110" s="311">
        <f t="shared" si="96"/>
        <v>1149139.9744000002</v>
      </c>
      <c r="O110" s="311">
        <f t="shared" si="96"/>
        <v>1287435.95</v>
      </c>
      <c r="P110" s="311">
        <f t="shared" si="96"/>
        <v>1179677.6059999999</v>
      </c>
      <c r="Q110" s="311">
        <f t="shared" si="96"/>
        <v>1511216.0180000002</v>
      </c>
      <c r="R110" s="311">
        <f t="shared" si="96"/>
        <v>1638071.9040000001</v>
      </c>
      <c r="S110" s="311">
        <f t="shared" si="96"/>
        <v>1472029.8755999994</v>
      </c>
      <c r="T110" s="311">
        <f t="shared" si="96"/>
        <v>0</v>
      </c>
      <c r="U110" s="311">
        <f t="shared" si="96"/>
        <v>15424850.8212</v>
      </c>
      <c r="V110" s="311">
        <f t="shared" si="96"/>
        <v>14729912</v>
      </c>
      <c r="W110" s="311">
        <f t="shared" si="96"/>
        <v>694938.82120000082</v>
      </c>
      <c r="X110" s="413"/>
      <c r="Z110" s="311">
        <f t="shared" ref="Z110:AL110" si="97">SUM(Z66:Z109)</f>
        <v>984865.0706199999</v>
      </c>
      <c r="AA110" s="311">
        <f t="shared" si="97"/>
        <v>1187013.6890999998</v>
      </c>
      <c r="AB110" s="311">
        <f t="shared" si="97"/>
        <v>1557204.91906</v>
      </c>
      <c r="AC110" s="311">
        <f t="shared" si="97"/>
        <v>999718.63963999972</v>
      </c>
      <c r="AD110" s="311">
        <f t="shared" si="97"/>
        <v>1165261.4473599999</v>
      </c>
      <c r="AE110" s="311">
        <f t="shared" si="97"/>
        <v>1665134.9775799999</v>
      </c>
      <c r="AF110" s="311">
        <f t="shared" si="97"/>
        <v>1143058.9991200001</v>
      </c>
      <c r="AG110" s="311">
        <f t="shared" si="97"/>
        <v>1115296.7209999997</v>
      </c>
      <c r="AH110" s="311">
        <f t="shared" si="97"/>
        <v>1236253.2867999999</v>
      </c>
      <c r="AI110" s="311">
        <f t="shared" si="97"/>
        <v>1541409.4934000003</v>
      </c>
      <c r="AJ110" s="311">
        <f t="shared" si="97"/>
        <v>1431668.0046999999</v>
      </c>
      <c r="AK110" s="311">
        <f t="shared" si="97"/>
        <v>1685792.75838</v>
      </c>
      <c r="AL110" s="311">
        <f t="shared" si="97"/>
        <v>15712678.006760003</v>
      </c>
    </row>
    <row r="111" spans="1:52" ht="15">
      <c r="A111" s="263"/>
      <c r="B111" s="263"/>
      <c r="C111" s="265"/>
      <c r="D111" s="341"/>
      <c r="E111" s="341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3"/>
      <c r="U111" s="341"/>
      <c r="W111" s="318"/>
      <c r="X111" s="413"/>
    </row>
    <row r="112" spans="1:52" ht="15">
      <c r="A112" s="263"/>
      <c r="B112" s="263"/>
      <c r="C112" s="265"/>
      <c r="D112" s="344"/>
      <c r="E112" s="344"/>
      <c r="F112" s="345" t="s">
        <v>44</v>
      </c>
      <c r="G112" s="263"/>
      <c r="H112" s="451"/>
      <c r="I112" s="451"/>
      <c r="J112" s="451"/>
      <c r="K112" s="451"/>
      <c r="L112" s="451"/>
      <c r="M112" s="451"/>
      <c r="N112" s="451"/>
      <c r="O112" s="451"/>
      <c r="P112" s="451"/>
      <c r="Q112" s="451"/>
      <c r="R112" s="451"/>
      <c r="S112" s="451"/>
      <c r="T112" s="345"/>
      <c r="U112" s="450"/>
      <c r="W112" s="318"/>
      <c r="X112" s="413"/>
      <c r="Y112" s="318"/>
    </row>
    <row r="113" spans="1:38">
      <c r="A113" s="263"/>
      <c r="B113" s="263"/>
      <c r="C113" s="319">
        <v>530680.06000000006</v>
      </c>
      <c r="D113" s="346">
        <v>582915.06999999995</v>
      </c>
      <c r="E113" s="365">
        <v>1253373.92</v>
      </c>
      <c r="F113" s="347" t="s">
        <v>1</v>
      </c>
      <c r="G113" s="348"/>
      <c r="H113" s="323">
        <v>23103.24</v>
      </c>
      <c r="I113" s="320">
        <v>43710.09</v>
      </c>
      <c r="J113" s="349">
        <v>45833.2</v>
      </c>
      <c r="K113" s="349">
        <v>37627.800000000003</v>
      </c>
      <c r="L113" s="349">
        <v>112076.92</v>
      </c>
      <c r="M113" s="349">
        <v>33047.61</v>
      </c>
      <c r="N113" s="349">
        <v>29831.69</v>
      </c>
      <c r="O113" s="349">
        <v>148976.92000000001</v>
      </c>
      <c r="P113" s="349">
        <v>116170.86</v>
      </c>
      <c r="Q113" s="349">
        <v>30498.080000000002</v>
      </c>
      <c r="R113" s="349">
        <v>130265.26</v>
      </c>
      <c r="S113" s="346">
        <f>3234.03+26751.05</f>
        <v>29985.079999999998</v>
      </c>
      <c r="T113" s="320"/>
      <c r="U113" s="346">
        <f t="shared" ref="U113:U119" si="98">SUM(H113:S113)+T113</f>
        <v>781126.74999999988</v>
      </c>
      <c r="V113" s="319">
        <v>300000</v>
      </c>
      <c r="W113" s="324">
        <f t="shared" ref="W113:W121" si="99">+U113-V113</f>
        <v>481126.74999999988</v>
      </c>
      <c r="X113" s="413"/>
      <c r="Y113" s="404"/>
      <c r="Z113" s="435">
        <f t="shared" ref="Z113:Z120" si="100">+AL113/12</f>
        <v>125000</v>
      </c>
      <c r="AA113" s="436"/>
      <c r="AB113" s="436"/>
      <c r="AC113" s="436"/>
      <c r="AD113" s="436"/>
      <c r="AE113" s="436"/>
      <c r="AF113" s="436"/>
      <c r="AG113" s="436"/>
      <c r="AH113" s="436"/>
      <c r="AI113" s="436"/>
      <c r="AJ113" s="436"/>
      <c r="AK113" s="436"/>
      <c r="AL113" s="477">
        <v>1500000</v>
      </c>
    </row>
    <row r="114" spans="1:38">
      <c r="A114" s="263"/>
      <c r="B114" s="263"/>
      <c r="C114" s="304">
        <v>692001.62</v>
      </c>
      <c r="D114" s="294">
        <v>934989.98</v>
      </c>
      <c r="E114" s="368">
        <v>1209145.3</v>
      </c>
      <c r="F114" s="326" t="s">
        <v>62</v>
      </c>
      <c r="G114" s="327"/>
      <c r="H114" s="328">
        <v>26849.89</v>
      </c>
      <c r="I114" s="325">
        <v>40555.26</v>
      </c>
      <c r="J114" s="350">
        <v>50823.29</v>
      </c>
      <c r="K114" s="350">
        <v>240856.28</v>
      </c>
      <c r="L114" s="350">
        <v>232158.55</v>
      </c>
      <c r="M114" s="350">
        <v>290432.37</v>
      </c>
      <c r="N114" s="350">
        <v>164926</v>
      </c>
      <c r="O114" s="350">
        <v>126009.16</v>
      </c>
      <c r="P114" s="350">
        <v>289285.58</v>
      </c>
      <c r="Q114" s="350">
        <v>173866.63</v>
      </c>
      <c r="R114" s="350">
        <v>216082.33</v>
      </c>
      <c r="S114" s="294">
        <v>111920.9</v>
      </c>
      <c r="T114" s="325"/>
      <c r="U114" s="294">
        <f t="shared" si="98"/>
        <v>1963766.2400000002</v>
      </c>
      <c r="V114" s="304">
        <v>1952000</v>
      </c>
      <c r="W114" s="297">
        <f t="shared" si="99"/>
        <v>11766.240000000224</v>
      </c>
      <c r="X114" s="413"/>
      <c r="Y114" s="404"/>
      <c r="Z114" s="429">
        <f t="shared" si="100"/>
        <v>125000</v>
      </c>
      <c r="AA114" s="437"/>
      <c r="AB114" s="437"/>
      <c r="AC114" s="437"/>
      <c r="AD114" s="437"/>
      <c r="AE114" s="437"/>
      <c r="AF114" s="437"/>
      <c r="AG114" s="437"/>
      <c r="AH114" s="437"/>
      <c r="AI114" s="437"/>
      <c r="AJ114" s="437"/>
      <c r="AK114" s="437"/>
      <c r="AL114" s="478">
        <v>1500000</v>
      </c>
    </row>
    <row r="115" spans="1:38">
      <c r="A115" s="263"/>
      <c r="B115" s="263"/>
      <c r="C115" s="304">
        <v>84370</v>
      </c>
      <c r="D115" s="294">
        <v>207323.8</v>
      </c>
      <c r="E115" s="368">
        <v>1356111.55</v>
      </c>
      <c r="F115" s="326" t="s">
        <v>45</v>
      </c>
      <c r="G115" s="327"/>
      <c r="H115" s="328">
        <v>2069.5500000000002</v>
      </c>
      <c r="I115" s="325">
        <f>66033.05+5589+5599+10999</f>
        <v>88220.05</v>
      </c>
      <c r="J115" s="350">
        <f>90565.35+18200</f>
        <v>108765.35</v>
      </c>
      <c r="K115" s="350">
        <v>41206.400000000001</v>
      </c>
      <c r="L115" s="350">
        <v>120611.7</v>
      </c>
      <c r="M115" s="350">
        <v>167499</v>
      </c>
      <c r="N115" s="350">
        <v>18988.5</v>
      </c>
      <c r="O115" s="350">
        <f>15437.94+26720</f>
        <v>42157.94</v>
      </c>
      <c r="P115" s="350">
        <v>85169.31</v>
      </c>
      <c r="Q115" s="350">
        <v>92243</v>
      </c>
      <c r="R115" s="350">
        <v>98184.24</v>
      </c>
      <c r="S115" s="294">
        <v>55230.29</v>
      </c>
      <c r="T115" s="325"/>
      <c r="U115" s="294">
        <f t="shared" si="98"/>
        <v>920345.33000000007</v>
      </c>
      <c r="V115" s="304">
        <v>1035137</v>
      </c>
      <c r="W115" s="297">
        <f t="shared" si="99"/>
        <v>-114791.66999999993</v>
      </c>
      <c r="X115" s="413"/>
      <c r="Y115" s="404"/>
      <c r="Z115" s="429">
        <f t="shared" si="100"/>
        <v>83333.333333333328</v>
      </c>
      <c r="AA115" s="437"/>
      <c r="AB115" s="437"/>
      <c r="AC115" s="437"/>
      <c r="AD115" s="437"/>
      <c r="AE115" s="437"/>
      <c r="AF115" s="437"/>
      <c r="AG115" s="437"/>
      <c r="AH115" s="437"/>
      <c r="AI115" s="437"/>
      <c r="AJ115" s="437"/>
      <c r="AK115" s="437"/>
      <c r="AL115" s="478">
        <v>1000000</v>
      </c>
    </row>
    <row r="116" spans="1:38">
      <c r="A116" s="263"/>
      <c r="B116" s="263"/>
      <c r="C116" s="304">
        <v>2957.9</v>
      </c>
      <c r="D116" s="294">
        <v>3564.32</v>
      </c>
      <c r="E116" s="368">
        <v>544.17999999999995</v>
      </c>
      <c r="F116" s="326" t="s">
        <v>46</v>
      </c>
      <c r="G116" s="327"/>
      <c r="H116" s="328"/>
      <c r="I116" s="325">
        <v>710.15</v>
      </c>
      <c r="J116" s="350">
        <v>970</v>
      </c>
      <c r="K116" s="350">
        <v>13530</v>
      </c>
      <c r="L116" s="350">
        <v>899.04</v>
      </c>
      <c r="M116" s="350">
        <v>1539.05</v>
      </c>
      <c r="N116" s="350"/>
      <c r="O116" s="350"/>
      <c r="P116" s="350">
        <v>1747.8</v>
      </c>
      <c r="Q116" s="350">
        <v>942.41</v>
      </c>
      <c r="R116" s="350">
        <v>900</v>
      </c>
      <c r="S116" s="294">
        <v>996</v>
      </c>
      <c r="T116" s="325"/>
      <c r="U116" s="294">
        <f t="shared" si="98"/>
        <v>22234.449999999997</v>
      </c>
      <c r="V116" s="304">
        <v>0</v>
      </c>
      <c r="W116" s="297">
        <f t="shared" si="99"/>
        <v>22234.449999999997</v>
      </c>
      <c r="X116" s="413"/>
      <c r="Y116" s="404"/>
      <c r="Z116" s="429">
        <f t="shared" si="100"/>
        <v>0</v>
      </c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78">
        <v>0</v>
      </c>
    </row>
    <row r="117" spans="1:38">
      <c r="A117" s="263"/>
      <c r="B117" s="263"/>
      <c r="C117" s="304">
        <v>355240.39000000007</v>
      </c>
      <c r="D117" s="294">
        <v>602300.7699999999</v>
      </c>
      <c r="E117" s="368">
        <v>953575.96</v>
      </c>
      <c r="F117" s="326" t="s">
        <v>76</v>
      </c>
      <c r="G117" s="327"/>
      <c r="H117" s="328"/>
      <c r="I117" s="325">
        <v>5479</v>
      </c>
      <c r="J117" s="350">
        <v>94188.79</v>
      </c>
      <c r="K117" s="350">
        <v>11953.45</v>
      </c>
      <c r="L117" s="350">
        <v>735.08</v>
      </c>
      <c r="M117" s="350">
        <v>46674.29</v>
      </c>
      <c r="N117" s="350"/>
      <c r="O117" s="350">
        <v>82817</v>
      </c>
      <c r="P117" s="350">
        <v>105592.64</v>
      </c>
      <c r="Q117" s="350">
        <v>2099.6999999999998</v>
      </c>
      <c r="R117" s="350">
        <v>10436.26</v>
      </c>
      <c r="S117" s="294">
        <v>5223.28</v>
      </c>
      <c r="T117" s="325"/>
      <c r="U117" s="294">
        <f t="shared" si="98"/>
        <v>365199.49000000005</v>
      </c>
      <c r="V117" s="304">
        <v>0</v>
      </c>
      <c r="W117" s="297">
        <f t="shared" si="99"/>
        <v>365199.49000000005</v>
      </c>
      <c r="X117" s="413"/>
      <c r="Y117" s="404"/>
      <c r="Z117" s="429">
        <f t="shared" si="100"/>
        <v>0</v>
      </c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78">
        <v>0</v>
      </c>
    </row>
    <row r="118" spans="1:38">
      <c r="A118" s="263"/>
      <c r="B118" s="263"/>
      <c r="C118" s="304">
        <v>258875.74</v>
      </c>
      <c r="D118" s="294">
        <v>447190.06000000006</v>
      </c>
      <c r="E118" s="368">
        <v>663780.56999999995</v>
      </c>
      <c r="F118" s="326" t="s">
        <v>63</v>
      </c>
      <c r="G118" s="327"/>
      <c r="H118" s="328">
        <v>30775.77</v>
      </c>
      <c r="I118" s="325">
        <f>51726.74-5589-5599-10999</f>
        <v>29539.739999999998</v>
      </c>
      <c r="J118" s="325">
        <f>102095.8-18200</f>
        <v>83895.8</v>
      </c>
      <c r="K118" s="325">
        <f>84569.56-4000</f>
        <v>80569.56</v>
      </c>
      <c r="L118" s="325">
        <v>52829.599999999999</v>
      </c>
      <c r="M118" s="325">
        <f>142974.65-4000</f>
        <v>138974.65</v>
      </c>
      <c r="N118" s="325">
        <v>70221.600000000006</v>
      </c>
      <c r="O118" s="325">
        <f>101219.7-26720</f>
        <v>74499.7</v>
      </c>
      <c r="P118" s="325">
        <v>109415.16</v>
      </c>
      <c r="Q118" s="325">
        <v>35152.959999999999</v>
      </c>
      <c r="R118" s="325">
        <f>137687.63-8944-10000</f>
        <v>118743.63</v>
      </c>
      <c r="S118" s="294">
        <v>87272.01</v>
      </c>
      <c r="T118" s="325"/>
      <c r="U118" s="294">
        <f>SUM(H118:S118)+T118-6000</f>
        <v>905890.17999999993</v>
      </c>
      <c r="V118" s="304">
        <v>519000</v>
      </c>
      <c r="W118" s="297">
        <f t="shared" si="99"/>
        <v>386890.17999999993</v>
      </c>
      <c r="X118" s="413"/>
      <c r="Y118" s="404"/>
      <c r="Z118" s="429">
        <f t="shared" si="100"/>
        <v>125000</v>
      </c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78">
        <v>1500000</v>
      </c>
    </row>
    <row r="119" spans="1:38">
      <c r="A119" s="263"/>
      <c r="B119" s="263"/>
      <c r="C119" s="304"/>
      <c r="D119" s="294"/>
      <c r="E119" s="368"/>
      <c r="F119" s="326" t="s">
        <v>338</v>
      </c>
      <c r="G119" s="327"/>
      <c r="H119" s="328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  <c r="S119" s="294"/>
      <c r="T119" s="325"/>
      <c r="U119" s="294">
        <f t="shared" si="98"/>
        <v>0</v>
      </c>
      <c r="V119" s="304">
        <v>418000</v>
      </c>
      <c r="W119" s="297">
        <f t="shared" si="99"/>
        <v>-418000</v>
      </c>
      <c r="X119" s="413"/>
      <c r="Y119" s="404"/>
      <c r="Z119" s="429">
        <f t="shared" si="100"/>
        <v>41666.666666666664</v>
      </c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78">
        <v>500000</v>
      </c>
    </row>
    <row r="120" spans="1:38">
      <c r="A120" s="263"/>
      <c r="B120" s="263"/>
      <c r="C120" s="304"/>
      <c r="D120" s="294">
        <v>27760.050000000003</v>
      </c>
      <c r="E120" s="368">
        <v>46679.88</v>
      </c>
      <c r="F120" s="337" t="s">
        <v>83</v>
      </c>
      <c r="G120" s="338"/>
      <c r="H120" s="328">
        <f>156.8+2882.94</f>
        <v>3039.7400000000002</v>
      </c>
      <c r="I120" s="325">
        <v>2933.55</v>
      </c>
      <c r="J120" s="325">
        <v>3219.31</v>
      </c>
      <c r="K120" s="325">
        <v>1969.77</v>
      </c>
      <c r="L120" s="325">
        <v>3168</v>
      </c>
      <c r="M120" s="325">
        <v>531.22</v>
      </c>
      <c r="N120" s="325"/>
      <c r="O120" s="325"/>
      <c r="P120" s="325"/>
      <c r="Q120" s="325"/>
      <c r="R120" s="325"/>
      <c r="S120" s="325">
        <v>501.56</v>
      </c>
      <c r="T120" s="351"/>
      <c r="U120" s="309">
        <f>SUM(H120:S120)+T120</f>
        <v>15363.15</v>
      </c>
      <c r="V120" s="304">
        <v>0</v>
      </c>
      <c r="W120" s="297">
        <f t="shared" si="99"/>
        <v>15363.15</v>
      </c>
      <c r="X120" s="413"/>
      <c r="Y120" s="404"/>
      <c r="Z120" s="429">
        <f t="shared" si="100"/>
        <v>0</v>
      </c>
      <c r="AA120" s="479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79"/>
      <c r="AL120" s="480">
        <v>0</v>
      </c>
    </row>
    <row r="121" spans="1:38" ht="15">
      <c r="A121" s="263"/>
      <c r="B121" s="263"/>
      <c r="C121" s="352">
        <v>2539667.09</v>
      </c>
      <c r="D121" s="352">
        <f>SUM(D113:D120)</f>
        <v>2806044.05</v>
      </c>
      <c r="E121" s="352">
        <f>SUM(E113:E120)</f>
        <v>5483211.3600000003</v>
      </c>
      <c r="F121" s="339" t="s">
        <v>99</v>
      </c>
      <c r="G121" s="340"/>
      <c r="H121" s="352">
        <f t="shared" ref="H121:V121" si="101">SUM(H113:H120)</f>
        <v>85838.190000000017</v>
      </c>
      <c r="I121" s="352">
        <f t="shared" si="101"/>
        <v>211147.84</v>
      </c>
      <c r="J121" s="352">
        <f t="shared" si="101"/>
        <v>387695.74</v>
      </c>
      <c r="K121" s="352">
        <f t="shared" si="101"/>
        <v>427713.26000000007</v>
      </c>
      <c r="L121" s="352">
        <f t="shared" si="101"/>
        <v>522478.88999999996</v>
      </c>
      <c r="M121" s="352">
        <f t="shared" si="101"/>
        <v>678698.19</v>
      </c>
      <c r="N121" s="352">
        <f t="shared" si="101"/>
        <v>283967.79000000004</v>
      </c>
      <c r="O121" s="352">
        <f t="shared" si="101"/>
        <v>474460.72000000003</v>
      </c>
      <c r="P121" s="352">
        <f t="shared" si="101"/>
        <v>707381.35</v>
      </c>
      <c r="Q121" s="352">
        <f t="shared" si="101"/>
        <v>334802.78000000003</v>
      </c>
      <c r="R121" s="352">
        <f t="shared" si="101"/>
        <v>574611.72</v>
      </c>
      <c r="S121" s="352">
        <f t="shared" si="101"/>
        <v>291129.12</v>
      </c>
      <c r="T121" s="352">
        <f t="shared" si="101"/>
        <v>0</v>
      </c>
      <c r="U121" s="352">
        <f t="shared" si="101"/>
        <v>4973925.5900000008</v>
      </c>
      <c r="V121" s="352">
        <f t="shared" si="101"/>
        <v>4224137</v>
      </c>
      <c r="W121" s="311">
        <f t="shared" si="99"/>
        <v>749788.59000000078</v>
      </c>
      <c r="X121" s="413"/>
      <c r="Y121" s="404"/>
      <c r="Z121" s="352">
        <f t="shared" ref="Z121:AK121" si="102">SUM(Z113:Z120)</f>
        <v>500000</v>
      </c>
      <c r="AA121" s="352">
        <f t="shared" si="102"/>
        <v>0</v>
      </c>
      <c r="AB121" s="352">
        <f t="shared" si="102"/>
        <v>0</v>
      </c>
      <c r="AC121" s="352">
        <f t="shared" si="102"/>
        <v>0</v>
      </c>
      <c r="AD121" s="352">
        <f t="shared" si="102"/>
        <v>0</v>
      </c>
      <c r="AE121" s="352">
        <f t="shared" si="102"/>
        <v>0</v>
      </c>
      <c r="AF121" s="352">
        <f t="shared" si="102"/>
        <v>0</v>
      </c>
      <c r="AG121" s="352">
        <f t="shared" si="102"/>
        <v>0</v>
      </c>
      <c r="AH121" s="352">
        <f t="shared" si="102"/>
        <v>0</v>
      </c>
      <c r="AI121" s="352">
        <f t="shared" si="102"/>
        <v>0</v>
      </c>
      <c r="AJ121" s="352">
        <f t="shared" si="102"/>
        <v>0</v>
      </c>
      <c r="AK121" s="352">
        <f t="shared" si="102"/>
        <v>0</v>
      </c>
      <c r="AL121" s="352">
        <f t="shared" ref="AL121" si="103">SUM(AL113:AL120)</f>
        <v>6000000</v>
      </c>
    </row>
    <row r="122" spans="1:38" ht="21.75" customHeight="1">
      <c r="A122" s="263"/>
      <c r="B122" s="263"/>
      <c r="C122" s="353">
        <v>13925299.265999999</v>
      </c>
      <c r="D122" s="354">
        <f>+D62+D110+D121</f>
        <v>15550328.75</v>
      </c>
      <c r="E122" s="356">
        <f t="shared" ref="E122" si="104">+E62+E110+E121</f>
        <v>19154797.630000003</v>
      </c>
      <c r="F122" s="355" t="s">
        <v>48</v>
      </c>
      <c r="G122" s="355"/>
      <c r="H122" s="356">
        <f t="shared" ref="H122:W122" si="105">+H62+H110+H121</f>
        <v>995384.47440000006</v>
      </c>
      <c r="I122" s="356">
        <f t="shared" si="105"/>
        <v>1386877.5020000001</v>
      </c>
      <c r="J122" s="356">
        <f t="shared" si="105"/>
        <v>1980953.0972</v>
      </c>
      <c r="K122" s="356">
        <f t="shared" si="105"/>
        <v>1447916.9468</v>
      </c>
      <c r="L122" s="356">
        <f t="shared" si="105"/>
        <v>1742315.7831999997</v>
      </c>
      <c r="M122" s="356">
        <f t="shared" si="105"/>
        <v>2421928.8796000006</v>
      </c>
      <c r="N122" s="356">
        <f t="shared" si="105"/>
        <v>1495706.9144000001</v>
      </c>
      <c r="O122" s="356">
        <f t="shared" si="105"/>
        <v>1828883</v>
      </c>
      <c r="P122" s="356">
        <f t="shared" si="105"/>
        <v>2088964.0060000001</v>
      </c>
      <c r="Q122" s="356">
        <f t="shared" si="105"/>
        <v>1897316.5180000002</v>
      </c>
      <c r="R122" s="356">
        <f t="shared" si="105"/>
        <v>2299630.6940000001</v>
      </c>
      <c r="S122" s="356">
        <f t="shared" si="105"/>
        <v>1913059.1755999993</v>
      </c>
      <c r="T122" s="356">
        <f t="shared" si="105"/>
        <v>0</v>
      </c>
      <c r="U122" s="357">
        <f t="shared" si="105"/>
        <v>21492936.9912</v>
      </c>
      <c r="V122" s="357">
        <f t="shared" si="105"/>
        <v>19743795</v>
      </c>
      <c r="W122" s="357">
        <f t="shared" si="105"/>
        <v>1749141.9912000014</v>
      </c>
      <c r="X122" s="413"/>
      <c r="Z122" s="357">
        <f t="shared" ref="Z122:AK122" si="106">+Z62+Z110+Z121</f>
        <v>1553446.21762</v>
      </c>
      <c r="AA122" s="357">
        <f t="shared" si="106"/>
        <v>1247203.7505999999</v>
      </c>
      <c r="AB122" s="357">
        <f t="shared" si="106"/>
        <v>1645207.5800600001</v>
      </c>
      <c r="AC122" s="357">
        <f t="shared" si="106"/>
        <v>1063664.4356399998</v>
      </c>
      <c r="AD122" s="357">
        <f t="shared" si="106"/>
        <v>1236638.75486</v>
      </c>
      <c r="AE122" s="357">
        <f t="shared" si="106"/>
        <v>1748383.30158</v>
      </c>
      <c r="AF122" s="357">
        <f t="shared" si="106"/>
        <v>1208788.1256200001</v>
      </c>
      <c r="AG122" s="357">
        <f t="shared" si="106"/>
        <v>1185632.8274999997</v>
      </c>
      <c r="AH122" s="357">
        <f t="shared" si="106"/>
        <v>1307036.3152999999</v>
      </c>
      <c r="AI122" s="357">
        <f t="shared" si="106"/>
        <v>1595272.1184000003</v>
      </c>
      <c r="AJ122" s="357">
        <f t="shared" si="106"/>
        <v>1522962.4471999998</v>
      </c>
      <c r="AK122" s="357">
        <f t="shared" si="106"/>
        <v>1867631.76138</v>
      </c>
      <c r="AL122" s="357">
        <f t="shared" ref="AL122" si="107">+AL62+AL110+AL121</f>
        <v>22681867.635760002</v>
      </c>
    </row>
    <row r="123" spans="1:38" ht="9.75" customHeight="1">
      <c r="A123" s="263"/>
      <c r="B123" s="263"/>
      <c r="C123" s="315"/>
      <c r="D123" s="358"/>
      <c r="E123" s="315"/>
      <c r="F123" s="359"/>
      <c r="G123" s="359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58"/>
      <c r="V123" s="358"/>
      <c r="W123" s="358"/>
      <c r="X123" s="413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358"/>
      <c r="AJ123" s="358"/>
      <c r="AK123" s="358"/>
      <c r="AL123" s="358"/>
    </row>
    <row r="124" spans="1:38" ht="18.75" customHeight="1">
      <c r="A124" s="263"/>
      <c r="B124" s="263"/>
      <c r="C124" s="360">
        <f>+C42-C122</f>
        <v>-647550.71600000001</v>
      </c>
      <c r="D124" s="361">
        <f>+D42-D122</f>
        <v>4796796.5400000028</v>
      </c>
      <c r="E124" s="360">
        <f t="shared" ref="E124" si="108">+E42-E122</f>
        <v>10464664.319999997</v>
      </c>
      <c r="F124" s="362" t="s">
        <v>100</v>
      </c>
      <c r="G124" s="362"/>
      <c r="H124" s="360">
        <f t="shared" ref="H124:W124" si="109">+H42-H122</f>
        <v>2168970.7855999996</v>
      </c>
      <c r="I124" s="360">
        <f t="shared" si="109"/>
        <v>2591092.8080000002</v>
      </c>
      <c r="J124" s="360">
        <f t="shared" si="109"/>
        <v>1157377.8327999997</v>
      </c>
      <c r="K124" s="360">
        <f t="shared" si="109"/>
        <v>222776.49319999991</v>
      </c>
      <c r="L124" s="360">
        <f t="shared" si="109"/>
        <v>1577673.9468000003</v>
      </c>
      <c r="M124" s="360">
        <f t="shared" si="109"/>
        <v>1175389.3903999995</v>
      </c>
      <c r="N124" s="360">
        <f t="shared" si="109"/>
        <v>1021881.9856000002</v>
      </c>
      <c r="O124" s="360">
        <f t="shared" si="109"/>
        <v>-536070.5</v>
      </c>
      <c r="P124" s="360">
        <f t="shared" si="109"/>
        <v>-900530.78600000008</v>
      </c>
      <c r="Q124" s="360">
        <f t="shared" si="109"/>
        <v>-761204.84800000023</v>
      </c>
      <c r="R124" s="360">
        <f t="shared" si="109"/>
        <v>1878905.8759999997</v>
      </c>
      <c r="S124" s="360">
        <f t="shared" si="109"/>
        <v>1351193.8044000007</v>
      </c>
      <c r="T124" s="360">
        <f t="shared" si="109"/>
        <v>0</v>
      </c>
      <c r="U124" s="363">
        <f t="shared" si="109"/>
        <v>10953456.788800001</v>
      </c>
      <c r="V124" s="363">
        <f t="shared" si="109"/>
        <v>-69806</v>
      </c>
      <c r="W124" s="363">
        <f t="shared" si="109"/>
        <v>9523262.7887999993</v>
      </c>
      <c r="X124" s="413"/>
      <c r="Z124" s="363">
        <f t="shared" ref="Z124:AK124" si="110">+Z42-Z122</f>
        <v>536708.60654666671</v>
      </c>
      <c r="AA124" s="363">
        <f t="shared" si="110"/>
        <v>-1247203.7505999999</v>
      </c>
      <c r="AB124" s="363">
        <f t="shared" si="110"/>
        <v>-1645207.5800600001</v>
      </c>
      <c r="AC124" s="363">
        <f t="shared" si="110"/>
        <v>-1063664.4356399998</v>
      </c>
      <c r="AD124" s="363">
        <f t="shared" si="110"/>
        <v>-1236638.75486</v>
      </c>
      <c r="AE124" s="363">
        <f t="shared" si="110"/>
        <v>-1748383.30158</v>
      </c>
      <c r="AF124" s="363">
        <f t="shared" si="110"/>
        <v>-1208788.1256200001</v>
      </c>
      <c r="AG124" s="363">
        <f t="shared" si="110"/>
        <v>-1185632.8274999997</v>
      </c>
      <c r="AH124" s="363">
        <f t="shared" si="110"/>
        <v>-1307036.3152999999</v>
      </c>
      <c r="AI124" s="363">
        <f t="shared" si="110"/>
        <v>-1595272.1184000003</v>
      </c>
      <c r="AJ124" s="363">
        <f t="shared" si="110"/>
        <v>-1522962.4471999998</v>
      </c>
      <c r="AK124" s="363">
        <f t="shared" si="110"/>
        <v>-1867631.76138</v>
      </c>
      <c r="AL124" s="363">
        <f t="shared" ref="AL124" si="111">+AL42-AL122</f>
        <v>2399990.2542399988</v>
      </c>
    </row>
    <row r="125" spans="1:38" ht="9.75" customHeight="1">
      <c r="A125" s="263"/>
      <c r="B125" s="263"/>
      <c r="C125" s="315"/>
      <c r="D125" s="358"/>
      <c r="E125" s="315"/>
      <c r="F125" s="359"/>
      <c r="G125" s="359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58"/>
      <c r="V125" s="358"/>
      <c r="W125" s="358"/>
      <c r="X125" s="413"/>
    </row>
    <row r="126" spans="1:38" ht="18.75" customHeight="1">
      <c r="A126" s="263"/>
      <c r="B126" s="263"/>
      <c r="C126" s="315"/>
      <c r="D126" s="358"/>
      <c r="E126" s="315"/>
      <c r="F126" s="364" t="s">
        <v>318</v>
      </c>
      <c r="G126" s="359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58"/>
      <c r="V126" s="358"/>
      <c r="W126" s="358"/>
      <c r="X126" s="413"/>
    </row>
    <row r="127" spans="1:38" ht="18.75" customHeight="1">
      <c r="A127" s="263"/>
      <c r="B127" s="263"/>
      <c r="C127" s="365">
        <v>411735.64</v>
      </c>
      <c r="D127" s="346">
        <v>50.8</v>
      </c>
      <c r="E127" s="365">
        <v>50747.06</v>
      </c>
      <c r="F127" s="366" t="s">
        <v>109</v>
      </c>
      <c r="G127" s="367"/>
      <c r="H127" s="346">
        <v>4818.26</v>
      </c>
      <c r="I127" s="346">
        <v>5327.39</v>
      </c>
      <c r="J127" s="346">
        <v>2764.95</v>
      </c>
      <c r="K127" s="346">
        <v>2285.48</v>
      </c>
      <c r="L127" s="346">
        <v>1133.68</v>
      </c>
      <c r="M127" s="346">
        <v>775.92</v>
      </c>
      <c r="N127" s="346">
        <v>843.09</v>
      </c>
      <c r="O127" s="346">
        <v>380.51</v>
      </c>
      <c r="P127" s="346">
        <v>1168.1500000000001</v>
      </c>
      <c r="Q127" s="346">
        <v>1018.59</v>
      </c>
      <c r="R127" s="346">
        <v>2386.64</v>
      </c>
      <c r="S127" s="346">
        <v>51318.89</v>
      </c>
      <c r="T127" s="346"/>
      <c r="U127" s="346">
        <f t="shared" ref="U127:U156" si="112">SUM(H127:T127)</f>
        <v>74221.55</v>
      </c>
      <c r="V127" s="346"/>
      <c r="W127" s="346">
        <f t="shared" ref="W127:W156" si="113">+U127-V127</f>
        <v>74221.55</v>
      </c>
      <c r="X127" s="413"/>
      <c r="Z127" s="435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77">
        <f>SUM(Z127:AK127)</f>
        <v>0</v>
      </c>
    </row>
    <row r="128" spans="1:38" ht="18.75" customHeight="1">
      <c r="A128" s="263"/>
      <c r="B128" s="263"/>
      <c r="C128" s="368"/>
      <c r="D128" s="294"/>
      <c r="E128" s="368">
        <v>257032.87</v>
      </c>
      <c r="F128" s="369" t="s">
        <v>320</v>
      </c>
      <c r="G128" s="370"/>
      <c r="H128" s="294">
        <v>901</v>
      </c>
      <c r="I128" s="294"/>
      <c r="J128" s="294">
        <v>7586.7</v>
      </c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>
        <f t="shared" si="112"/>
        <v>8487.7000000000007</v>
      </c>
      <c r="V128" s="294"/>
      <c r="W128" s="294">
        <f t="shared" si="113"/>
        <v>8487.7000000000007</v>
      </c>
      <c r="X128" s="413"/>
      <c r="Z128" s="429"/>
      <c r="AA128" s="437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437"/>
      <c r="AL128" s="478">
        <f t="shared" ref="AL128:AL156" si="114">SUM(Z128:AK128)</f>
        <v>0</v>
      </c>
    </row>
    <row r="129" spans="1:52" ht="18.75" customHeight="1">
      <c r="A129" s="263"/>
      <c r="B129" s="263"/>
      <c r="C129" s="368"/>
      <c r="D129" s="294"/>
      <c r="E129" s="368">
        <v>572449.64</v>
      </c>
      <c r="F129" s="369" t="s">
        <v>305</v>
      </c>
      <c r="G129" s="370"/>
      <c r="H129" s="294"/>
      <c r="I129" s="294"/>
      <c r="J129" s="294">
        <v>67551.73</v>
      </c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>
        <f t="shared" si="112"/>
        <v>67551.73</v>
      </c>
      <c r="V129" s="294"/>
      <c r="W129" s="294">
        <f t="shared" si="113"/>
        <v>67551.73</v>
      </c>
      <c r="X129" s="413"/>
      <c r="Z129" s="429"/>
      <c r="AA129" s="437"/>
      <c r="AB129" s="437"/>
      <c r="AC129" s="437"/>
      <c r="AD129" s="437"/>
      <c r="AE129" s="437"/>
      <c r="AF129" s="437"/>
      <c r="AG129" s="437"/>
      <c r="AH129" s="437"/>
      <c r="AI129" s="437"/>
      <c r="AJ129" s="437"/>
      <c r="AK129" s="437"/>
      <c r="AL129" s="478">
        <f t="shared" si="114"/>
        <v>0</v>
      </c>
    </row>
    <row r="130" spans="1:52" ht="18.75" customHeight="1">
      <c r="A130" s="263"/>
      <c r="B130" s="263"/>
      <c r="C130" s="368"/>
      <c r="D130" s="294"/>
      <c r="E130" s="368"/>
      <c r="F130" s="369" t="s">
        <v>343</v>
      </c>
      <c r="G130" s="370"/>
      <c r="H130" s="294"/>
      <c r="I130" s="294"/>
      <c r="J130" s="294">
        <v>15925</v>
      </c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>
        <f t="shared" si="112"/>
        <v>15925</v>
      </c>
      <c r="V130" s="294"/>
      <c r="W130" s="294">
        <f t="shared" si="113"/>
        <v>15925</v>
      </c>
      <c r="X130" s="413"/>
      <c r="Z130" s="429"/>
      <c r="AA130" s="437"/>
      <c r="AB130" s="437"/>
      <c r="AC130" s="437"/>
      <c r="AD130" s="437"/>
      <c r="AE130" s="437"/>
      <c r="AF130" s="437"/>
      <c r="AG130" s="437"/>
      <c r="AH130" s="437"/>
      <c r="AI130" s="437"/>
      <c r="AJ130" s="437"/>
      <c r="AK130" s="437"/>
      <c r="AL130" s="478">
        <f t="shared" si="114"/>
        <v>0</v>
      </c>
    </row>
    <row r="131" spans="1:52" ht="18.75" customHeight="1">
      <c r="A131" s="263"/>
      <c r="B131" s="263"/>
      <c r="C131" s="368"/>
      <c r="D131" s="294"/>
      <c r="E131" s="368">
        <v>159419</v>
      </c>
      <c r="F131" s="369" t="s">
        <v>144</v>
      </c>
      <c r="G131" s="370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>
        <f t="shared" si="112"/>
        <v>0</v>
      </c>
      <c r="V131" s="294"/>
      <c r="W131" s="294">
        <f t="shared" si="113"/>
        <v>0</v>
      </c>
      <c r="X131" s="413"/>
      <c r="Z131" s="429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78">
        <f t="shared" si="114"/>
        <v>0</v>
      </c>
    </row>
    <row r="132" spans="1:52" ht="18.75" customHeight="1">
      <c r="A132" s="263"/>
      <c r="B132" s="263"/>
      <c r="C132" s="368"/>
      <c r="D132" s="294"/>
      <c r="E132" s="368">
        <v>192051.22999999998</v>
      </c>
      <c r="F132" s="369" t="s">
        <v>306</v>
      </c>
      <c r="G132" s="370"/>
      <c r="H132" s="294">
        <v>4085.83</v>
      </c>
      <c r="I132" s="294">
        <v>33052.11</v>
      </c>
      <c r="J132" s="294"/>
      <c r="K132" s="294">
        <v>2900</v>
      </c>
      <c r="L132" s="294"/>
      <c r="M132" s="294">
        <v>3200</v>
      </c>
      <c r="N132" s="294"/>
      <c r="O132" s="294">
        <v>1200</v>
      </c>
      <c r="P132" s="294"/>
      <c r="Q132" s="294"/>
      <c r="R132" s="294"/>
      <c r="S132" s="294"/>
      <c r="T132" s="294"/>
      <c r="U132" s="294">
        <f t="shared" si="112"/>
        <v>44437.94</v>
      </c>
      <c r="V132" s="294"/>
      <c r="W132" s="294">
        <f t="shared" si="113"/>
        <v>44437.94</v>
      </c>
      <c r="X132" s="413"/>
      <c r="Z132" s="429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78">
        <f t="shared" si="114"/>
        <v>0</v>
      </c>
    </row>
    <row r="133" spans="1:52" ht="18.75" customHeight="1">
      <c r="A133" s="263"/>
      <c r="B133" s="263"/>
      <c r="C133" s="368">
        <v>49316.99</v>
      </c>
      <c r="D133" s="294">
        <v>2562508.9000000004</v>
      </c>
      <c r="E133" s="368">
        <v>2028857.29</v>
      </c>
      <c r="F133" s="369" t="s">
        <v>105</v>
      </c>
      <c r="G133" s="370"/>
      <c r="H133" s="294">
        <v>143789.34</v>
      </c>
      <c r="I133" s="294">
        <v>75088.240000000005</v>
      </c>
      <c r="J133" s="294">
        <v>34539.9</v>
      </c>
      <c r="K133" s="294"/>
      <c r="L133" s="294">
        <v>3000</v>
      </c>
      <c r="M133" s="294">
        <v>2000</v>
      </c>
      <c r="N133" s="294"/>
      <c r="O133" s="294"/>
      <c r="P133" s="294">
        <v>11309.75</v>
      </c>
      <c r="Q133" s="294">
        <v>20245.54</v>
      </c>
      <c r="R133" s="294"/>
      <c r="S133" s="294"/>
      <c r="T133" s="294"/>
      <c r="U133" s="294">
        <f t="shared" si="112"/>
        <v>289972.76999999996</v>
      </c>
      <c r="V133" s="294"/>
      <c r="W133" s="294">
        <f t="shared" si="113"/>
        <v>289972.76999999996</v>
      </c>
      <c r="X133" s="413"/>
      <c r="Z133" s="429"/>
      <c r="AA133" s="437"/>
      <c r="AB133" s="437"/>
      <c r="AC133" s="437"/>
      <c r="AD133" s="437"/>
      <c r="AE133" s="437"/>
      <c r="AF133" s="437"/>
      <c r="AG133" s="437"/>
      <c r="AH133" s="437"/>
      <c r="AI133" s="437"/>
      <c r="AJ133" s="437"/>
      <c r="AK133" s="437"/>
      <c r="AL133" s="478">
        <f t="shared" si="114"/>
        <v>0</v>
      </c>
    </row>
    <row r="134" spans="1:52" ht="18.75" customHeight="1">
      <c r="A134" s="263"/>
      <c r="B134" s="263"/>
      <c r="C134" s="368"/>
      <c r="D134" s="294"/>
      <c r="E134" s="368">
        <v>626365.66</v>
      </c>
      <c r="F134" s="369" t="s">
        <v>321</v>
      </c>
      <c r="G134" s="370"/>
      <c r="H134" s="294">
        <v>171237.58</v>
      </c>
      <c r="I134" s="294">
        <v>103676.44</v>
      </c>
      <c r="J134" s="294">
        <v>146411.74</v>
      </c>
      <c r="K134" s="294">
        <v>70271.73</v>
      </c>
      <c r="L134" s="294">
        <v>41504.85</v>
      </c>
      <c r="M134" s="294">
        <v>18096</v>
      </c>
      <c r="N134" s="294"/>
      <c r="O134" s="294"/>
      <c r="P134" s="294">
        <v>1100</v>
      </c>
      <c r="Q134" s="294"/>
      <c r="R134" s="294"/>
      <c r="S134" s="294"/>
      <c r="T134" s="294"/>
      <c r="U134" s="294">
        <f t="shared" si="112"/>
        <v>552298.34</v>
      </c>
      <c r="V134" s="294"/>
      <c r="W134" s="294">
        <f t="shared" si="113"/>
        <v>552298.34</v>
      </c>
      <c r="X134" s="413"/>
      <c r="Z134" s="429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78">
        <f t="shared" si="114"/>
        <v>0</v>
      </c>
    </row>
    <row r="135" spans="1:52" ht="18.75" customHeight="1">
      <c r="A135" s="263"/>
      <c r="B135" s="263"/>
      <c r="C135" s="368"/>
      <c r="D135" s="294"/>
      <c r="E135" s="368">
        <v>133160.66</v>
      </c>
      <c r="F135" s="369" t="s">
        <v>322</v>
      </c>
      <c r="G135" s="370"/>
      <c r="H135" s="294">
        <v>58434</v>
      </c>
      <c r="I135" s="294">
        <v>38183.5</v>
      </c>
      <c r="J135" s="294">
        <v>11904</v>
      </c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>
        <f t="shared" si="112"/>
        <v>108521.5</v>
      </c>
      <c r="V135" s="294"/>
      <c r="W135" s="294">
        <f t="shared" si="113"/>
        <v>108521.5</v>
      </c>
      <c r="X135" s="413"/>
      <c r="Z135" s="429"/>
      <c r="AA135" s="437"/>
      <c r="AB135" s="437"/>
      <c r="AC135" s="437"/>
      <c r="AD135" s="437"/>
      <c r="AE135" s="437"/>
      <c r="AF135" s="437"/>
      <c r="AG135" s="437"/>
      <c r="AH135" s="437"/>
      <c r="AI135" s="437"/>
      <c r="AJ135" s="437"/>
      <c r="AK135" s="437"/>
      <c r="AL135" s="478">
        <f t="shared" si="114"/>
        <v>0</v>
      </c>
    </row>
    <row r="136" spans="1:52" ht="18.75" customHeight="1">
      <c r="A136" s="263"/>
      <c r="B136" s="263"/>
      <c r="C136" s="368"/>
      <c r="D136" s="294">
        <v>28821.65</v>
      </c>
      <c r="E136" s="368">
        <v>1262595.2</v>
      </c>
      <c r="F136" s="369" t="s">
        <v>307</v>
      </c>
      <c r="G136" s="370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>
        <f t="shared" si="112"/>
        <v>0</v>
      </c>
      <c r="V136" s="294"/>
      <c r="W136" s="294">
        <f t="shared" si="113"/>
        <v>0</v>
      </c>
      <c r="X136" s="413"/>
      <c r="Z136" s="429"/>
      <c r="AA136" s="437"/>
      <c r="AB136" s="437"/>
      <c r="AC136" s="437"/>
      <c r="AD136" s="437"/>
      <c r="AE136" s="437"/>
      <c r="AF136" s="437"/>
      <c r="AG136" s="437"/>
      <c r="AH136" s="437"/>
      <c r="AI136" s="437"/>
      <c r="AJ136" s="437"/>
      <c r="AK136" s="437"/>
      <c r="AL136" s="478">
        <f t="shared" si="114"/>
        <v>0</v>
      </c>
    </row>
    <row r="137" spans="1:52" ht="18.75" customHeight="1">
      <c r="A137" s="263"/>
      <c r="B137" s="263"/>
      <c r="C137" s="368"/>
      <c r="D137" s="294"/>
      <c r="E137" s="368">
        <v>1784518</v>
      </c>
      <c r="F137" s="369" t="s">
        <v>145</v>
      </c>
      <c r="G137" s="370"/>
      <c r="H137" s="294">
        <v>100747.2</v>
      </c>
      <c r="I137" s="294">
        <v>168570</v>
      </c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>
        <f t="shared" si="112"/>
        <v>269317.2</v>
      </c>
      <c r="V137" s="294"/>
      <c r="W137" s="294">
        <f t="shared" si="113"/>
        <v>269317.2</v>
      </c>
      <c r="X137" s="413"/>
      <c r="Z137" s="429"/>
      <c r="AA137" s="437"/>
      <c r="AB137" s="437"/>
      <c r="AC137" s="437"/>
      <c r="AD137" s="437"/>
      <c r="AE137" s="437"/>
      <c r="AF137" s="437"/>
      <c r="AG137" s="437"/>
      <c r="AH137" s="437"/>
      <c r="AI137" s="437"/>
      <c r="AJ137" s="437"/>
      <c r="AK137" s="437"/>
      <c r="AL137" s="478">
        <f t="shared" si="114"/>
        <v>0</v>
      </c>
    </row>
    <row r="138" spans="1:52" ht="18.75" customHeight="1">
      <c r="A138" s="263"/>
      <c r="B138" s="263"/>
      <c r="C138" s="368"/>
      <c r="D138" s="294"/>
      <c r="E138" s="368"/>
      <c r="F138" s="369" t="s">
        <v>102</v>
      </c>
      <c r="G138" s="370"/>
      <c r="H138" s="294"/>
      <c r="I138" s="294"/>
      <c r="J138" s="294"/>
      <c r="K138" s="294"/>
      <c r="L138" s="294"/>
      <c r="M138" s="294">
        <v>46282.1</v>
      </c>
      <c r="N138" s="294">
        <v>4732</v>
      </c>
      <c r="O138" s="294"/>
      <c r="P138" s="294">
        <v>81000</v>
      </c>
      <c r="Q138" s="294"/>
      <c r="R138" s="294"/>
      <c r="S138" s="294"/>
      <c r="T138" s="294"/>
      <c r="U138" s="294">
        <f t="shared" si="112"/>
        <v>132014.1</v>
      </c>
      <c r="V138" s="294"/>
      <c r="W138" s="294">
        <f t="shared" si="113"/>
        <v>132014.1</v>
      </c>
      <c r="X138" s="413"/>
      <c r="Z138" s="429"/>
      <c r="AA138" s="437"/>
      <c r="AB138" s="437"/>
      <c r="AC138" s="437"/>
      <c r="AD138" s="437"/>
      <c r="AE138" s="437"/>
      <c r="AF138" s="437"/>
      <c r="AG138" s="437"/>
      <c r="AH138" s="437"/>
      <c r="AI138" s="437"/>
      <c r="AJ138" s="437"/>
      <c r="AK138" s="437"/>
      <c r="AL138" s="478">
        <f t="shared" si="114"/>
        <v>0</v>
      </c>
    </row>
    <row r="139" spans="1:52" ht="18.75" customHeight="1">
      <c r="A139" s="263"/>
      <c r="B139" s="263"/>
      <c r="C139" s="368"/>
      <c r="D139" s="294"/>
      <c r="E139" s="368">
        <v>462118</v>
      </c>
      <c r="F139" s="369" t="s">
        <v>308</v>
      </c>
      <c r="G139" s="370"/>
      <c r="H139" s="294">
        <v>13260</v>
      </c>
      <c r="I139" s="294">
        <v>75000</v>
      </c>
      <c r="J139" s="294">
        <v>22546.05</v>
      </c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>
        <f t="shared" si="112"/>
        <v>110806.05</v>
      </c>
      <c r="V139" s="294"/>
      <c r="W139" s="294">
        <f t="shared" si="113"/>
        <v>110806.05</v>
      </c>
      <c r="X139" s="413"/>
      <c r="Z139" s="429"/>
      <c r="AA139" s="437"/>
      <c r="AB139" s="437"/>
      <c r="AC139" s="437"/>
      <c r="AD139" s="437"/>
      <c r="AE139" s="437"/>
      <c r="AF139" s="437"/>
      <c r="AG139" s="437"/>
      <c r="AH139" s="437"/>
      <c r="AI139" s="437"/>
      <c r="AJ139" s="437"/>
      <c r="AK139" s="437"/>
      <c r="AL139" s="478">
        <f t="shared" si="114"/>
        <v>0</v>
      </c>
    </row>
    <row r="140" spans="1:52" ht="18.75" customHeight="1">
      <c r="A140" s="263"/>
      <c r="B140" s="263"/>
      <c r="C140" s="368"/>
      <c r="D140" s="294"/>
      <c r="E140" s="368"/>
      <c r="F140" s="369" t="s">
        <v>342</v>
      </c>
      <c r="G140" s="370"/>
      <c r="H140" s="294">
        <v>47377.65</v>
      </c>
      <c r="I140" s="294">
        <v>23940</v>
      </c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>
        <f t="shared" si="112"/>
        <v>71317.649999999994</v>
      </c>
      <c r="V140" s="294"/>
      <c r="W140" s="294">
        <f t="shared" si="113"/>
        <v>71317.649999999994</v>
      </c>
      <c r="X140" s="413"/>
      <c r="Z140" s="429"/>
      <c r="AA140" s="437"/>
      <c r="AB140" s="437"/>
      <c r="AC140" s="437"/>
      <c r="AD140" s="437"/>
      <c r="AE140" s="437"/>
      <c r="AF140" s="437"/>
      <c r="AG140" s="437"/>
      <c r="AH140" s="437"/>
      <c r="AI140" s="437"/>
      <c r="AJ140" s="437"/>
      <c r="AK140" s="437"/>
      <c r="AL140" s="478">
        <f t="shared" si="114"/>
        <v>0</v>
      </c>
    </row>
    <row r="141" spans="1:52" ht="18.75" customHeight="1">
      <c r="A141" s="263"/>
      <c r="B141" s="263"/>
      <c r="C141" s="368"/>
      <c r="D141" s="294"/>
      <c r="E141" s="368"/>
      <c r="F141" s="369" t="s">
        <v>339</v>
      </c>
      <c r="G141" s="370"/>
      <c r="H141" s="294"/>
      <c r="I141" s="294">
        <v>75000</v>
      </c>
      <c r="J141" s="294">
        <v>3650.02</v>
      </c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>
        <f t="shared" si="112"/>
        <v>78650.02</v>
      </c>
      <c r="V141" s="294"/>
      <c r="W141" s="294">
        <f t="shared" si="113"/>
        <v>78650.02</v>
      </c>
      <c r="X141" s="413"/>
      <c r="Z141" s="429"/>
      <c r="AA141" s="437"/>
      <c r="AB141" s="437"/>
      <c r="AC141" s="437"/>
      <c r="AD141" s="437"/>
      <c r="AE141" s="437"/>
      <c r="AF141" s="437"/>
      <c r="AG141" s="437"/>
      <c r="AH141" s="437"/>
      <c r="AI141" s="437"/>
      <c r="AJ141" s="437"/>
      <c r="AK141" s="437"/>
      <c r="AL141" s="478">
        <f t="shared" si="114"/>
        <v>0</v>
      </c>
    </row>
    <row r="142" spans="1:52" ht="18.75" customHeight="1">
      <c r="A142" s="263"/>
      <c r="B142" s="263"/>
      <c r="C142" s="368"/>
      <c r="D142" s="294">
        <f>7000+13000+141728.33</f>
        <v>161728.32999999999</v>
      </c>
      <c r="E142" s="368">
        <v>260243.95</v>
      </c>
      <c r="F142" s="369" t="s">
        <v>309</v>
      </c>
      <c r="G142" s="370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>
        <f>1483720.06+642799.94+873480</f>
        <v>3000000</v>
      </c>
      <c r="S142" s="294">
        <v>20000</v>
      </c>
      <c r="T142" s="294"/>
      <c r="U142" s="294">
        <f t="shared" si="112"/>
        <v>3020000</v>
      </c>
      <c r="V142" s="294"/>
      <c r="W142" s="294">
        <f t="shared" si="113"/>
        <v>3020000</v>
      </c>
      <c r="X142" s="413"/>
      <c r="Z142" s="429">
        <f>383000/12</f>
        <v>31916.666666666668</v>
      </c>
      <c r="AA142" s="429">
        <f t="shared" ref="AA142:AK142" si="115">383000/12</f>
        <v>31916.666666666668</v>
      </c>
      <c r="AB142" s="429">
        <f t="shared" si="115"/>
        <v>31916.666666666668</v>
      </c>
      <c r="AC142" s="429">
        <f t="shared" si="115"/>
        <v>31916.666666666668</v>
      </c>
      <c r="AD142" s="429">
        <f t="shared" si="115"/>
        <v>31916.666666666668</v>
      </c>
      <c r="AE142" s="429">
        <f t="shared" si="115"/>
        <v>31916.666666666668</v>
      </c>
      <c r="AF142" s="429">
        <f t="shared" si="115"/>
        <v>31916.666666666668</v>
      </c>
      <c r="AG142" s="429">
        <f t="shared" si="115"/>
        <v>31916.666666666668</v>
      </c>
      <c r="AH142" s="429">
        <f t="shared" si="115"/>
        <v>31916.666666666668</v>
      </c>
      <c r="AI142" s="429">
        <f t="shared" si="115"/>
        <v>31916.666666666668</v>
      </c>
      <c r="AJ142" s="429">
        <f t="shared" si="115"/>
        <v>31916.666666666668</v>
      </c>
      <c r="AK142" s="429">
        <f t="shared" si="115"/>
        <v>31916.666666666668</v>
      </c>
      <c r="AL142" s="478">
        <f t="shared" si="114"/>
        <v>383000.00000000006</v>
      </c>
      <c r="AZ142" s="46">
        <f>203000+180000</f>
        <v>383000</v>
      </c>
    </row>
    <row r="143" spans="1:52" ht="18.75" customHeight="1">
      <c r="A143" s="263"/>
      <c r="B143" s="263"/>
      <c r="C143" s="368"/>
      <c r="D143" s="294"/>
      <c r="E143" s="368">
        <v>70622</v>
      </c>
      <c r="F143" s="369" t="s">
        <v>310</v>
      </c>
      <c r="G143" s="370"/>
      <c r="H143" s="294"/>
      <c r="I143" s="294"/>
      <c r="J143" s="294"/>
      <c r="K143" s="294"/>
      <c r="L143" s="294"/>
      <c r="M143" s="294"/>
      <c r="N143" s="294"/>
      <c r="O143" s="294"/>
      <c r="P143" s="294">
        <v>125000</v>
      </c>
      <c r="Q143" s="294">
        <v>76900</v>
      </c>
      <c r="R143" s="294">
        <v>201975</v>
      </c>
      <c r="S143" s="294">
        <v>60000</v>
      </c>
      <c r="T143" s="294"/>
      <c r="U143" s="294">
        <f t="shared" si="112"/>
        <v>463875</v>
      </c>
      <c r="V143" s="294">
        <v>983052</v>
      </c>
      <c r="W143" s="294">
        <f t="shared" si="113"/>
        <v>-519177</v>
      </c>
      <c r="X143" s="413"/>
      <c r="Z143" s="429">
        <f>(303456+672000)/12</f>
        <v>81288</v>
      </c>
      <c r="AA143" s="429">
        <f t="shared" ref="AA143:AK143" si="116">(303456+672000)/12</f>
        <v>81288</v>
      </c>
      <c r="AB143" s="429">
        <f t="shared" si="116"/>
        <v>81288</v>
      </c>
      <c r="AC143" s="429">
        <f t="shared" si="116"/>
        <v>81288</v>
      </c>
      <c r="AD143" s="429">
        <f t="shared" si="116"/>
        <v>81288</v>
      </c>
      <c r="AE143" s="429">
        <f t="shared" si="116"/>
        <v>81288</v>
      </c>
      <c r="AF143" s="429">
        <f t="shared" si="116"/>
        <v>81288</v>
      </c>
      <c r="AG143" s="429">
        <f t="shared" si="116"/>
        <v>81288</v>
      </c>
      <c r="AH143" s="429">
        <f t="shared" si="116"/>
        <v>81288</v>
      </c>
      <c r="AI143" s="429">
        <f t="shared" si="116"/>
        <v>81288</v>
      </c>
      <c r="AJ143" s="429">
        <f t="shared" si="116"/>
        <v>81288</v>
      </c>
      <c r="AK143" s="429">
        <f t="shared" si="116"/>
        <v>81288</v>
      </c>
      <c r="AL143" s="478">
        <f t="shared" si="114"/>
        <v>975456</v>
      </c>
      <c r="AZ143" s="46">
        <f>303456+672000</f>
        <v>975456</v>
      </c>
    </row>
    <row r="144" spans="1:52" ht="18.75" customHeight="1">
      <c r="A144" s="263"/>
      <c r="B144" s="263"/>
      <c r="C144" s="368"/>
      <c r="D144" s="294"/>
      <c r="E144" s="368">
        <v>75000</v>
      </c>
      <c r="F144" s="369" t="s">
        <v>146</v>
      </c>
      <c r="G144" s="370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>
        <f t="shared" si="112"/>
        <v>0</v>
      </c>
      <c r="V144" s="294"/>
      <c r="W144" s="294">
        <f t="shared" si="113"/>
        <v>0</v>
      </c>
      <c r="X144" s="413"/>
      <c r="Z144" s="429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78">
        <f t="shared" si="114"/>
        <v>0</v>
      </c>
    </row>
    <row r="145" spans="1:52" ht="18.75" customHeight="1">
      <c r="A145" s="263"/>
      <c r="B145" s="263"/>
      <c r="C145" s="368"/>
      <c r="D145" s="294">
        <v>5850</v>
      </c>
      <c r="E145" s="368">
        <v>114565.77</v>
      </c>
      <c r="F145" s="369" t="s">
        <v>103</v>
      </c>
      <c r="G145" s="370"/>
      <c r="H145" s="294"/>
      <c r="I145" s="294"/>
      <c r="J145" s="294"/>
      <c r="K145" s="294"/>
      <c r="L145" s="294">
        <v>19700</v>
      </c>
      <c r="M145" s="294"/>
      <c r="N145" s="294">
        <v>20000</v>
      </c>
      <c r="O145" s="294"/>
      <c r="P145" s="294"/>
      <c r="Q145" s="294"/>
      <c r="R145" s="294"/>
      <c r="S145" s="294"/>
      <c r="T145" s="294"/>
      <c r="U145" s="294">
        <f t="shared" si="112"/>
        <v>39700</v>
      </c>
      <c r="V145" s="294"/>
      <c r="W145" s="294">
        <f t="shared" si="113"/>
        <v>39700</v>
      </c>
      <c r="X145" s="413"/>
      <c r="Z145" s="429"/>
      <c r="AA145" s="437"/>
      <c r="AB145" s="437"/>
      <c r="AC145" s="437"/>
      <c r="AD145" s="437"/>
      <c r="AE145" s="437"/>
      <c r="AF145" s="437"/>
      <c r="AG145" s="437"/>
      <c r="AH145" s="437"/>
      <c r="AI145" s="437"/>
      <c r="AJ145" s="437"/>
      <c r="AK145" s="437"/>
      <c r="AL145" s="478">
        <f t="shared" si="114"/>
        <v>0</v>
      </c>
    </row>
    <row r="146" spans="1:52" ht="18.75" customHeight="1">
      <c r="A146" s="263"/>
      <c r="B146" s="263"/>
      <c r="C146" s="368"/>
      <c r="D146" s="294">
        <v>138960.44</v>
      </c>
      <c r="E146" s="368">
        <v>131638.43</v>
      </c>
      <c r="F146" s="369" t="s">
        <v>104</v>
      </c>
      <c r="G146" s="370"/>
      <c r="H146" s="294">
        <v>6500</v>
      </c>
      <c r="I146" s="294"/>
      <c r="J146" s="294"/>
      <c r="K146" s="294">
        <v>74743.63</v>
      </c>
      <c r="L146" s="294">
        <v>7317.7</v>
      </c>
      <c r="M146" s="294">
        <v>74806.28</v>
      </c>
      <c r="N146" s="294"/>
      <c r="O146" s="294"/>
      <c r="P146" s="294">
        <v>68060.45</v>
      </c>
      <c r="Q146" s="294"/>
      <c r="R146" s="294"/>
      <c r="S146" s="294"/>
      <c r="T146" s="294"/>
      <c r="U146" s="294">
        <f t="shared" si="112"/>
        <v>231428.06</v>
      </c>
      <c r="V146" s="294"/>
      <c r="W146" s="294">
        <f t="shared" si="113"/>
        <v>231428.06</v>
      </c>
      <c r="X146" s="413"/>
      <c r="Z146" s="429"/>
      <c r="AA146" s="437"/>
      <c r="AB146" s="437"/>
      <c r="AC146" s="437"/>
      <c r="AD146" s="437"/>
      <c r="AE146" s="437"/>
      <c r="AF146" s="437"/>
      <c r="AG146" s="437"/>
      <c r="AH146" s="437"/>
      <c r="AI146" s="437"/>
      <c r="AJ146" s="437"/>
      <c r="AK146" s="437"/>
      <c r="AL146" s="478">
        <f t="shared" si="114"/>
        <v>0</v>
      </c>
    </row>
    <row r="147" spans="1:52" ht="18.75" customHeight="1">
      <c r="A147" s="263"/>
      <c r="B147" s="263"/>
      <c r="C147" s="368"/>
      <c r="D147" s="294"/>
      <c r="E147" s="368">
        <v>34862</v>
      </c>
      <c r="F147" s="369" t="s">
        <v>101</v>
      </c>
      <c r="G147" s="370"/>
      <c r="H147" s="294"/>
      <c r="I147" s="294"/>
      <c r="J147" s="294"/>
      <c r="K147" s="294"/>
      <c r="L147" s="294"/>
      <c r="M147" s="294"/>
      <c r="N147" s="294"/>
      <c r="O147" s="294"/>
      <c r="P147" s="294">
        <v>3900</v>
      </c>
      <c r="Q147" s="294"/>
      <c r="R147" s="294"/>
      <c r="S147" s="294"/>
      <c r="T147" s="294"/>
      <c r="U147" s="294">
        <f t="shared" si="112"/>
        <v>3900</v>
      </c>
      <c r="V147" s="294"/>
      <c r="W147" s="294">
        <f t="shared" si="113"/>
        <v>3900</v>
      </c>
      <c r="X147" s="413"/>
      <c r="Z147" s="483"/>
      <c r="AA147" s="437"/>
      <c r="AB147" s="437"/>
      <c r="AC147" s="437"/>
      <c r="AD147" s="437"/>
      <c r="AE147" s="437"/>
      <c r="AF147" s="437"/>
      <c r="AG147" s="437"/>
      <c r="AH147" s="437"/>
      <c r="AI147" s="437"/>
      <c r="AJ147" s="437"/>
      <c r="AK147" s="437"/>
      <c r="AL147" s="478">
        <f t="shared" si="114"/>
        <v>0</v>
      </c>
    </row>
    <row r="148" spans="1:52" ht="18.75" customHeight="1">
      <c r="A148" s="263"/>
      <c r="B148" s="263"/>
      <c r="C148" s="368"/>
      <c r="D148" s="294"/>
      <c r="E148" s="368">
        <v>67767.7</v>
      </c>
      <c r="F148" s="369" t="s">
        <v>323</v>
      </c>
      <c r="G148" s="370"/>
      <c r="H148" s="294"/>
      <c r="I148" s="294"/>
      <c r="J148" s="294">
        <v>23718.1</v>
      </c>
      <c r="K148" s="294">
        <v>196653.22</v>
      </c>
      <c r="L148" s="294"/>
      <c r="M148" s="294"/>
      <c r="N148" s="294"/>
      <c r="O148" s="294"/>
      <c r="P148" s="294"/>
      <c r="Q148" s="294"/>
      <c r="R148" s="294"/>
      <c r="S148" s="294">
        <v>2828.18</v>
      </c>
      <c r="T148" s="294"/>
      <c r="U148" s="294">
        <f t="shared" si="112"/>
        <v>223199.5</v>
      </c>
      <c r="V148" s="294"/>
      <c r="W148" s="294">
        <f t="shared" si="113"/>
        <v>223199.5</v>
      </c>
      <c r="X148" s="413"/>
      <c r="Z148" s="429"/>
      <c r="AA148" s="429"/>
      <c r="AB148" s="429"/>
      <c r="AC148" s="429"/>
      <c r="AD148" s="437"/>
      <c r="AE148" s="437"/>
      <c r="AF148" s="437"/>
      <c r="AG148" s="437"/>
      <c r="AH148" s="437"/>
      <c r="AI148" s="437"/>
      <c r="AJ148" s="437"/>
      <c r="AK148" s="437"/>
      <c r="AL148" s="478">
        <f t="shared" si="114"/>
        <v>0</v>
      </c>
    </row>
    <row r="149" spans="1:52" ht="18.75" customHeight="1">
      <c r="A149" s="263"/>
      <c r="B149" s="263"/>
      <c r="C149" s="368"/>
      <c r="D149" s="294"/>
      <c r="E149" s="368">
        <v>66935.5</v>
      </c>
      <c r="F149" s="369" t="s">
        <v>324</v>
      </c>
      <c r="G149" s="370"/>
      <c r="H149" s="294"/>
      <c r="I149" s="294"/>
      <c r="J149" s="294">
        <v>23225</v>
      </c>
      <c r="K149" s="294">
        <v>181214.18</v>
      </c>
      <c r="L149" s="294"/>
      <c r="M149" s="294"/>
      <c r="N149" s="294"/>
      <c r="O149" s="294"/>
      <c r="P149" s="294"/>
      <c r="Q149" s="294"/>
      <c r="R149" s="294"/>
      <c r="S149" s="294">
        <v>2205.11</v>
      </c>
      <c r="T149" s="294"/>
      <c r="U149" s="294">
        <f t="shared" si="112"/>
        <v>206644.28999999998</v>
      </c>
      <c r="V149" s="294"/>
      <c r="W149" s="294">
        <f t="shared" si="113"/>
        <v>206644.28999999998</v>
      </c>
      <c r="X149" s="413"/>
      <c r="Z149" s="429"/>
      <c r="AA149" s="429"/>
      <c r="AB149" s="429"/>
      <c r="AC149" s="429"/>
      <c r="AD149" s="437"/>
      <c r="AE149" s="437"/>
      <c r="AF149" s="437"/>
      <c r="AG149" s="437"/>
      <c r="AH149" s="437"/>
      <c r="AI149" s="437"/>
      <c r="AJ149" s="437"/>
      <c r="AK149" s="437"/>
      <c r="AL149" s="478">
        <f t="shared" si="114"/>
        <v>0</v>
      </c>
    </row>
    <row r="150" spans="1:52" ht="18.75" customHeight="1">
      <c r="A150" s="263"/>
      <c r="B150" s="263"/>
      <c r="C150" s="368"/>
      <c r="D150" s="294"/>
      <c r="E150" s="368">
        <v>114475.76</v>
      </c>
      <c r="F150" s="369" t="s">
        <v>325</v>
      </c>
      <c r="G150" s="370"/>
      <c r="H150" s="294"/>
      <c r="I150" s="294"/>
      <c r="J150" s="294"/>
      <c r="K150" s="294">
        <v>386830.58</v>
      </c>
      <c r="L150" s="294"/>
      <c r="M150" s="294"/>
      <c r="N150" s="294"/>
      <c r="O150" s="294"/>
      <c r="P150" s="294"/>
      <c r="Q150" s="294">
        <v>14164.32</v>
      </c>
      <c r="R150" s="294"/>
      <c r="S150" s="294">
        <v>2148.5500000000002</v>
      </c>
      <c r="T150" s="294"/>
      <c r="U150" s="294">
        <f t="shared" si="112"/>
        <v>403143.45</v>
      </c>
      <c r="V150" s="294"/>
      <c r="W150" s="294">
        <f t="shared" si="113"/>
        <v>403143.45</v>
      </c>
      <c r="X150" s="413"/>
      <c r="Z150" s="429"/>
      <c r="AA150" s="429"/>
      <c r="AB150" s="429"/>
      <c r="AC150" s="429"/>
      <c r="AD150" s="437"/>
      <c r="AE150" s="437"/>
      <c r="AF150" s="437"/>
      <c r="AG150" s="437"/>
      <c r="AH150" s="437"/>
      <c r="AI150" s="437"/>
      <c r="AJ150" s="437"/>
      <c r="AK150" s="437"/>
      <c r="AL150" s="478">
        <f t="shared" si="114"/>
        <v>0</v>
      </c>
    </row>
    <row r="151" spans="1:52" ht="18.75" customHeight="1">
      <c r="A151" s="263"/>
      <c r="B151" s="263"/>
      <c r="C151" s="368"/>
      <c r="D151" s="294"/>
      <c r="E151" s="368">
        <v>37785.54</v>
      </c>
      <c r="F151" s="369" t="s">
        <v>326</v>
      </c>
      <c r="G151" s="370"/>
      <c r="H151" s="294"/>
      <c r="I151" s="294"/>
      <c r="J151" s="294">
        <v>13224.14</v>
      </c>
      <c r="K151" s="294">
        <v>107456.13</v>
      </c>
      <c r="L151" s="294"/>
      <c r="M151" s="294"/>
      <c r="N151" s="294"/>
      <c r="O151" s="294"/>
      <c r="P151" s="294"/>
      <c r="Q151" s="294"/>
      <c r="R151" s="294"/>
      <c r="S151" s="294">
        <v>2277.5700000000002</v>
      </c>
      <c r="T151" s="294"/>
      <c r="U151" s="294">
        <f t="shared" si="112"/>
        <v>122957.84000000001</v>
      </c>
      <c r="V151" s="294"/>
      <c r="W151" s="294">
        <f t="shared" si="113"/>
        <v>122957.84000000001</v>
      </c>
      <c r="X151" s="413"/>
      <c r="Z151" s="429"/>
      <c r="AA151" s="429"/>
      <c r="AB151" s="429"/>
      <c r="AC151" s="429"/>
      <c r="AD151" s="437"/>
      <c r="AE151" s="437"/>
      <c r="AF151" s="437"/>
      <c r="AG151" s="437"/>
      <c r="AH151" s="437"/>
      <c r="AI151" s="437"/>
      <c r="AJ151" s="437"/>
      <c r="AK151" s="437"/>
      <c r="AL151" s="478">
        <f t="shared" si="114"/>
        <v>0</v>
      </c>
    </row>
    <row r="152" spans="1:52" ht="18.75" customHeight="1">
      <c r="A152" s="263"/>
      <c r="B152" s="263"/>
      <c r="C152" s="368"/>
      <c r="D152" s="294"/>
      <c r="E152" s="368">
        <v>20084.740000000002</v>
      </c>
      <c r="F152" s="369" t="s">
        <v>327</v>
      </c>
      <c r="G152" s="370"/>
      <c r="H152" s="294"/>
      <c r="I152" s="294"/>
      <c r="J152" s="294"/>
      <c r="K152" s="294">
        <v>70794.75</v>
      </c>
      <c r="L152" s="294"/>
      <c r="M152" s="294"/>
      <c r="N152" s="294"/>
      <c r="O152" s="294"/>
      <c r="P152" s="294"/>
      <c r="Q152" s="294"/>
      <c r="R152" s="294"/>
      <c r="S152" s="294"/>
      <c r="T152" s="294"/>
      <c r="U152" s="294">
        <f t="shared" si="112"/>
        <v>70794.75</v>
      </c>
      <c r="V152" s="294"/>
      <c r="W152" s="294">
        <f t="shared" si="113"/>
        <v>70794.75</v>
      </c>
      <c r="X152" s="413"/>
      <c r="Z152" s="429"/>
      <c r="AA152" s="429"/>
      <c r="AB152" s="429"/>
      <c r="AC152" s="429"/>
      <c r="AD152" s="437"/>
      <c r="AE152" s="437"/>
      <c r="AF152" s="437"/>
      <c r="AG152" s="437"/>
      <c r="AH152" s="437"/>
      <c r="AI152" s="437"/>
      <c r="AJ152" s="437"/>
      <c r="AK152" s="437"/>
      <c r="AL152" s="478">
        <f t="shared" si="114"/>
        <v>0</v>
      </c>
    </row>
    <row r="153" spans="1:52" ht="18.75" customHeight="1">
      <c r="A153" s="263"/>
      <c r="B153" s="263"/>
      <c r="C153" s="368"/>
      <c r="D153" s="294"/>
      <c r="E153" s="368">
        <v>78591.72</v>
      </c>
      <c r="F153" s="369" t="s">
        <v>328</v>
      </c>
      <c r="G153" s="370"/>
      <c r="H153" s="294">
        <v>11341.5</v>
      </c>
      <c r="I153" s="294"/>
      <c r="J153" s="294"/>
      <c r="K153" s="294">
        <v>205245.32</v>
      </c>
      <c r="L153" s="294"/>
      <c r="M153" s="294"/>
      <c r="N153" s="294"/>
      <c r="O153" s="294"/>
      <c r="P153" s="294"/>
      <c r="Q153" s="294"/>
      <c r="R153" s="294"/>
      <c r="S153" s="294">
        <v>4955.01</v>
      </c>
      <c r="T153" s="294"/>
      <c r="U153" s="294">
        <f t="shared" si="112"/>
        <v>221541.83000000002</v>
      </c>
      <c r="V153" s="294"/>
      <c r="W153" s="294">
        <f t="shared" si="113"/>
        <v>221541.83000000002</v>
      </c>
      <c r="X153" s="413"/>
      <c r="Z153" s="429"/>
      <c r="AA153" s="429"/>
      <c r="AB153" s="429"/>
      <c r="AC153" s="429"/>
      <c r="AD153" s="437"/>
      <c r="AE153" s="437"/>
      <c r="AF153" s="437"/>
      <c r="AG153" s="437"/>
      <c r="AH153" s="437"/>
      <c r="AI153" s="437"/>
      <c r="AJ153" s="437"/>
      <c r="AK153" s="437"/>
      <c r="AL153" s="478">
        <f t="shared" si="114"/>
        <v>0</v>
      </c>
    </row>
    <row r="154" spans="1:52" ht="18.75" customHeight="1">
      <c r="A154" s="263"/>
      <c r="B154" s="263"/>
      <c r="C154" s="368"/>
      <c r="D154" s="294"/>
      <c r="E154" s="368"/>
      <c r="F154" s="369" t="s">
        <v>344</v>
      </c>
      <c r="G154" s="370"/>
      <c r="H154" s="294"/>
      <c r="I154" s="294"/>
      <c r="J154" s="294"/>
      <c r="K154" s="294"/>
      <c r="L154" s="294"/>
      <c r="M154" s="294">
        <v>33006.89</v>
      </c>
      <c r="N154" s="294">
        <v>29965.32</v>
      </c>
      <c r="O154" s="294">
        <v>79347.240000000005</v>
      </c>
      <c r="P154" s="294">
        <v>43716.55</v>
      </c>
      <c r="Q154" s="294">
        <v>104569.5</v>
      </c>
      <c r="R154" s="294">
        <v>42522.96</v>
      </c>
      <c r="S154" s="294">
        <v>66263.53</v>
      </c>
      <c r="T154" s="294"/>
      <c r="U154" s="294">
        <f t="shared" si="112"/>
        <v>399391.99</v>
      </c>
      <c r="V154" s="294">
        <v>1044000</v>
      </c>
      <c r="W154" s="294">
        <f t="shared" si="113"/>
        <v>-644608.01</v>
      </c>
      <c r="X154" s="413"/>
      <c r="Z154" s="429">
        <f>(1400000+1220000)/12</f>
        <v>218333.33333333334</v>
      </c>
      <c r="AA154" s="429">
        <f t="shared" ref="AA154:AK154" si="117">(1400000+1220000)/12</f>
        <v>218333.33333333334</v>
      </c>
      <c r="AB154" s="429">
        <f t="shared" si="117"/>
        <v>218333.33333333334</v>
      </c>
      <c r="AC154" s="429">
        <f t="shared" si="117"/>
        <v>218333.33333333334</v>
      </c>
      <c r="AD154" s="429">
        <f t="shared" si="117"/>
        <v>218333.33333333334</v>
      </c>
      <c r="AE154" s="429">
        <f t="shared" si="117"/>
        <v>218333.33333333334</v>
      </c>
      <c r="AF154" s="429">
        <f t="shared" si="117"/>
        <v>218333.33333333334</v>
      </c>
      <c r="AG154" s="429">
        <f t="shared" si="117"/>
        <v>218333.33333333334</v>
      </c>
      <c r="AH154" s="429">
        <f t="shared" si="117"/>
        <v>218333.33333333334</v>
      </c>
      <c r="AI154" s="429">
        <f t="shared" si="117"/>
        <v>218333.33333333334</v>
      </c>
      <c r="AJ154" s="429">
        <f t="shared" si="117"/>
        <v>218333.33333333334</v>
      </c>
      <c r="AK154" s="429">
        <f t="shared" si="117"/>
        <v>218333.33333333334</v>
      </c>
      <c r="AL154" s="478">
        <f t="shared" si="114"/>
        <v>2620000</v>
      </c>
      <c r="AZ154" s="46">
        <f>1400000+1220000</f>
        <v>2620000</v>
      </c>
    </row>
    <row r="155" spans="1:52" ht="18.75" customHeight="1">
      <c r="A155" s="263"/>
      <c r="B155" s="263"/>
      <c r="C155" s="368"/>
      <c r="D155" s="294">
        <v>48365.25</v>
      </c>
      <c r="E155" s="368">
        <v>244282.75</v>
      </c>
      <c r="F155" s="369" t="s">
        <v>108</v>
      </c>
      <c r="G155" s="370"/>
      <c r="H155" s="294">
        <v>258336.05</v>
      </c>
      <c r="I155" s="294">
        <v>56729.87</v>
      </c>
      <c r="J155" s="294">
        <v>42900</v>
      </c>
      <c r="K155" s="294">
        <v>39000</v>
      </c>
      <c r="L155" s="294"/>
      <c r="M155" s="294"/>
      <c r="N155" s="294"/>
      <c r="O155" s="294"/>
      <c r="P155" s="294"/>
      <c r="Q155" s="294"/>
      <c r="R155" s="294"/>
      <c r="S155" s="294"/>
      <c r="T155" s="294"/>
      <c r="U155" s="294">
        <f t="shared" si="112"/>
        <v>396965.92</v>
      </c>
      <c r="V155" s="294"/>
      <c r="W155" s="294">
        <f t="shared" si="113"/>
        <v>396965.92</v>
      </c>
      <c r="X155" s="413"/>
      <c r="Z155" s="484"/>
      <c r="AA155" s="484"/>
      <c r="AB155" s="484"/>
      <c r="AC155" s="484"/>
      <c r="AD155" s="437"/>
      <c r="AE155" s="437"/>
      <c r="AF155" s="437"/>
      <c r="AG155" s="437"/>
      <c r="AH155" s="437"/>
      <c r="AI155" s="437"/>
      <c r="AJ155" s="437"/>
      <c r="AK155" s="437"/>
      <c r="AL155" s="478">
        <f t="shared" si="114"/>
        <v>0</v>
      </c>
    </row>
    <row r="156" spans="1:52" ht="18.75" customHeight="1">
      <c r="A156" s="263"/>
      <c r="B156" s="263"/>
      <c r="C156" s="368"/>
      <c r="D156" s="294"/>
      <c r="E156" s="368">
        <v>0</v>
      </c>
      <c r="F156" s="369"/>
      <c r="G156" s="370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>
        <f t="shared" si="112"/>
        <v>0</v>
      </c>
      <c r="V156" s="294"/>
      <c r="W156" s="294">
        <f t="shared" si="113"/>
        <v>0</v>
      </c>
      <c r="X156" s="413"/>
      <c r="Z156" s="432"/>
      <c r="AA156" s="479"/>
      <c r="AB156" s="432"/>
      <c r="AC156" s="432"/>
      <c r="AD156" s="479"/>
      <c r="AE156" s="479"/>
      <c r="AF156" s="479"/>
      <c r="AG156" s="479"/>
      <c r="AH156" s="479"/>
      <c r="AI156" s="479"/>
      <c r="AJ156" s="479"/>
      <c r="AK156" s="479"/>
      <c r="AL156" s="480">
        <f t="shared" si="114"/>
        <v>0</v>
      </c>
    </row>
    <row r="157" spans="1:52" ht="18.75" customHeight="1">
      <c r="A157" s="263"/>
      <c r="B157" s="263"/>
      <c r="C157" s="371">
        <f>SUM(C127:C156)</f>
        <v>461052.63</v>
      </c>
      <c r="D157" s="371">
        <f>SUM(D127:D156)</f>
        <v>2946285.37</v>
      </c>
      <c r="E157" s="373">
        <f t="shared" ref="E157" si="118">SUM(E127:E156)</f>
        <v>8846170.4700000007</v>
      </c>
      <c r="F157" s="372" t="s">
        <v>311</v>
      </c>
      <c r="G157" s="373">
        <f>SUM(G129:G156)</f>
        <v>0</v>
      </c>
      <c r="H157" s="373">
        <f t="shared" ref="H157:T157" si="119">SUM(H127:H156)</f>
        <v>820828.40999999992</v>
      </c>
      <c r="I157" s="373">
        <f t="shared" si="119"/>
        <v>654567.54999999993</v>
      </c>
      <c r="J157" s="373">
        <f t="shared" si="119"/>
        <v>415947.33</v>
      </c>
      <c r="K157" s="373">
        <f t="shared" si="119"/>
        <v>1337395.0200000003</v>
      </c>
      <c r="L157" s="373">
        <f t="shared" si="119"/>
        <v>72656.23</v>
      </c>
      <c r="M157" s="373">
        <f t="shared" si="119"/>
        <v>178167.19</v>
      </c>
      <c r="N157" s="373">
        <f t="shared" si="119"/>
        <v>55540.41</v>
      </c>
      <c r="O157" s="373">
        <f t="shared" si="119"/>
        <v>80927.75</v>
      </c>
      <c r="P157" s="373">
        <f t="shared" si="119"/>
        <v>335254.89999999997</v>
      </c>
      <c r="Q157" s="373">
        <f t="shared" si="119"/>
        <v>216897.95</v>
      </c>
      <c r="R157" s="373">
        <f t="shared" si="119"/>
        <v>3246884.6</v>
      </c>
      <c r="S157" s="373">
        <f t="shared" si="119"/>
        <v>211996.84</v>
      </c>
      <c r="T157" s="373">
        <f t="shared" si="119"/>
        <v>0</v>
      </c>
      <c r="U157" s="374">
        <f>SUM(U127:U156)</f>
        <v>7627064.1799999997</v>
      </c>
      <c r="V157" s="373">
        <f>SUM(V127:V156)</f>
        <v>2027052</v>
      </c>
      <c r="W157" s="373">
        <f>SUM(W127:W156)</f>
        <v>5600012.1799999997</v>
      </c>
      <c r="X157" s="413"/>
      <c r="Z157" s="373">
        <f>SUM(Z127:Z156)</f>
        <v>331538</v>
      </c>
      <c r="AA157" s="373">
        <f t="shared" ref="AA157:AL157" si="120">SUM(AA127:AA156)</f>
        <v>331538</v>
      </c>
      <c r="AB157" s="373">
        <f t="shared" si="120"/>
        <v>331538</v>
      </c>
      <c r="AC157" s="373">
        <f t="shared" si="120"/>
        <v>331538</v>
      </c>
      <c r="AD157" s="373">
        <f t="shared" si="120"/>
        <v>331538</v>
      </c>
      <c r="AE157" s="373">
        <f t="shared" si="120"/>
        <v>331538</v>
      </c>
      <c r="AF157" s="373">
        <f t="shared" si="120"/>
        <v>331538</v>
      </c>
      <c r="AG157" s="373">
        <f t="shared" si="120"/>
        <v>331538</v>
      </c>
      <c r="AH157" s="373">
        <f t="shared" si="120"/>
        <v>331538</v>
      </c>
      <c r="AI157" s="373">
        <f t="shared" si="120"/>
        <v>331538</v>
      </c>
      <c r="AJ157" s="373">
        <f t="shared" si="120"/>
        <v>331538</v>
      </c>
      <c r="AK157" s="373">
        <f t="shared" si="120"/>
        <v>331538</v>
      </c>
      <c r="AL157" s="373">
        <f t="shared" si="120"/>
        <v>3978456</v>
      </c>
      <c r="AZ157" s="373">
        <f>SUM(AZ127:AZ156)</f>
        <v>3978456</v>
      </c>
    </row>
    <row r="158" spans="1:52" ht="18.75" customHeight="1">
      <c r="A158" s="263"/>
      <c r="B158" s="263"/>
      <c r="C158" s="375">
        <f>+C157*0.16</f>
        <v>73768.420800000007</v>
      </c>
      <c r="D158" s="375">
        <f>+D157*0.16</f>
        <v>471405.65920000005</v>
      </c>
      <c r="E158" s="377">
        <f t="shared" ref="E158" si="121">+E157*0.16</f>
        <v>1415387.2752</v>
      </c>
      <c r="F158" s="376" t="s">
        <v>312</v>
      </c>
      <c r="G158" s="377"/>
      <c r="H158" s="377">
        <f t="shared" ref="H158:T158" si="122">+H157*0.16</f>
        <v>131332.54559999998</v>
      </c>
      <c r="I158" s="377">
        <f t="shared" si="122"/>
        <v>104730.80799999999</v>
      </c>
      <c r="J158" s="377">
        <f t="shared" si="122"/>
        <v>66551.572800000009</v>
      </c>
      <c r="K158" s="377">
        <f t="shared" si="122"/>
        <v>213983.20320000005</v>
      </c>
      <c r="L158" s="377">
        <f t="shared" si="122"/>
        <v>11624.996799999999</v>
      </c>
      <c r="M158" s="377">
        <f t="shared" si="122"/>
        <v>28506.750400000001</v>
      </c>
      <c r="N158" s="377">
        <f t="shared" si="122"/>
        <v>8886.4656000000014</v>
      </c>
      <c r="O158" s="377">
        <f t="shared" si="122"/>
        <v>12948.44</v>
      </c>
      <c r="P158" s="377">
        <f t="shared" si="122"/>
        <v>53640.783999999992</v>
      </c>
      <c r="Q158" s="377">
        <f t="shared" si="122"/>
        <v>34703.672000000006</v>
      </c>
      <c r="R158" s="377">
        <f>+(R157-3000000)*0.16</f>
        <v>39501.536000000015</v>
      </c>
      <c r="S158" s="377">
        <f t="shared" si="122"/>
        <v>33919.494400000003</v>
      </c>
      <c r="T158" s="377">
        <f t="shared" si="122"/>
        <v>0</v>
      </c>
      <c r="U158" s="378">
        <f>+U157*0.16</f>
        <v>1220330.2688</v>
      </c>
      <c r="V158" s="378">
        <f>+V157*0.16</f>
        <v>324328.32000000001</v>
      </c>
      <c r="W158" s="379">
        <f>+U158-V158</f>
        <v>896001.9487999999</v>
      </c>
      <c r="X158" s="413"/>
      <c r="Z158" s="378">
        <f>+Z157*0.16</f>
        <v>53046.080000000002</v>
      </c>
      <c r="AA158" s="378">
        <f t="shared" ref="AA158:AL158" si="123">+AA157*0.16</f>
        <v>53046.080000000002</v>
      </c>
      <c r="AB158" s="378">
        <f t="shared" si="123"/>
        <v>53046.080000000002</v>
      </c>
      <c r="AC158" s="378">
        <f t="shared" si="123"/>
        <v>53046.080000000002</v>
      </c>
      <c r="AD158" s="378">
        <f t="shared" si="123"/>
        <v>53046.080000000002</v>
      </c>
      <c r="AE158" s="378">
        <f t="shared" si="123"/>
        <v>53046.080000000002</v>
      </c>
      <c r="AF158" s="378">
        <f t="shared" si="123"/>
        <v>53046.080000000002</v>
      </c>
      <c r="AG158" s="378">
        <f t="shared" si="123"/>
        <v>53046.080000000002</v>
      </c>
      <c r="AH158" s="378">
        <f t="shared" si="123"/>
        <v>53046.080000000002</v>
      </c>
      <c r="AI158" s="378">
        <f t="shared" si="123"/>
        <v>53046.080000000002</v>
      </c>
      <c r="AJ158" s="378">
        <f t="shared" si="123"/>
        <v>53046.080000000002</v>
      </c>
      <c r="AK158" s="378">
        <f t="shared" si="123"/>
        <v>53046.080000000002</v>
      </c>
      <c r="AL158" s="378">
        <f t="shared" si="123"/>
        <v>636552.95999999996</v>
      </c>
      <c r="AZ158" s="378">
        <f>+AZ157*0.16</f>
        <v>636552.95999999996</v>
      </c>
    </row>
    <row r="159" spans="1:52" ht="18" customHeight="1">
      <c r="A159" s="263"/>
      <c r="B159" s="263"/>
      <c r="C159" s="381">
        <f>+C157+C158</f>
        <v>534821.05079999997</v>
      </c>
      <c r="D159" s="381">
        <f>+D157+D158</f>
        <v>3417691.0292000002</v>
      </c>
      <c r="E159" s="383">
        <f t="shared" ref="E159" si="124">+E157+E158</f>
        <v>10261557.745200001</v>
      </c>
      <c r="F159" s="382" t="s">
        <v>313</v>
      </c>
      <c r="G159" s="383"/>
      <c r="H159" s="383">
        <f t="shared" ref="H159:T159" si="125">+H157+H158</f>
        <v>952160.95559999987</v>
      </c>
      <c r="I159" s="383">
        <f t="shared" si="125"/>
        <v>759298.35799999989</v>
      </c>
      <c r="J159" s="383">
        <f t="shared" si="125"/>
        <v>482498.90280000004</v>
      </c>
      <c r="K159" s="383">
        <f t="shared" si="125"/>
        <v>1551378.2232000004</v>
      </c>
      <c r="L159" s="383">
        <f t="shared" si="125"/>
        <v>84281.226799999989</v>
      </c>
      <c r="M159" s="383">
        <f t="shared" si="125"/>
        <v>206673.94039999999</v>
      </c>
      <c r="N159" s="383">
        <f t="shared" si="125"/>
        <v>64426.875600000007</v>
      </c>
      <c r="O159" s="383">
        <f t="shared" si="125"/>
        <v>93876.19</v>
      </c>
      <c r="P159" s="383">
        <f t="shared" si="125"/>
        <v>388895.68399999995</v>
      </c>
      <c r="Q159" s="383">
        <f t="shared" si="125"/>
        <v>251601.62200000003</v>
      </c>
      <c r="R159" s="383">
        <f t="shared" si="125"/>
        <v>3286386.1359999999</v>
      </c>
      <c r="S159" s="383">
        <f t="shared" si="125"/>
        <v>245916.33439999999</v>
      </c>
      <c r="T159" s="383">
        <f t="shared" si="125"/>
        <v>0</v>
      </c>
      <c r="U159" s="384">
        <f>+U157+U158</f>
        <v>8847394.4487999994</v>
      </c>
      <c r="V159" s="384">
        <f>+V157+V158</f>
        <v>2351380.3199999998</v>
      </c>
      <c r="W159" s="384">
        <f>+W157+W158</f>
        <v>6496014.1287999991</v>
      </c>
      <c r="X159" s="413"/>
      <c r="Z159" s="384">
        <f>+Z157+Z158</f>
        <v>384584.08</v>
      </c>
      <c r="AA159" s="384">
        <f t="shared" ref="AA159:AL159" si="126">+AA157+AA158</f>
        <v>384584.08</v>
      </c>
      <c r="AB159" s="384">
        <f t="shared" si="126"/>
        <v>384584.08</v>
      </c>
      <c r="AC159" s="384">
        <f t="shared" si="126"/>
        <v>384584.08</v>
      </c>
      <c r="AD159" s="384">
        <f t="shared" si="126"/>
        <v>384584.08</v>
      </c>
      <c r="AE159" s="384">
        <f t="shared" si="126"/>
        <v>384584.08</v>
      </c>
      <c r="AF159" s="384">
        <f t="shared" si="126"/>
        <v>384584.08</v>
      </c>
      <c r="AG159" s="384">
        <f t="shared" si="126"/>
        <v>384584.08</v>
      </c>
      <c r="AH159" s="384">
        <f t="shared" si="126"/>
        <v>384584.08</v>
      </c>
      <c r="AI159" s="384">
        <f t="shared" si="126"/>
        <v>384584.08</v>
      </c>
      <c r="AJ159" s="384">
        <f t="shared" si="126"/>
        <v>384584.08</v>
      </c>
      <c r="AK159" s="384">
        <f t="shared" si="126"/>
        <v>384584.08</v>
      </c>
      <c r="AL159" s="384">
        <f t="shared" si="126"/>
        <v>4615008.96</v>
      </c>
      <c r="AZ159" s="384">
        <f>+AZ157+AZ158</f>
        <v>4615008.96</v>
      </c>
    </row>
    <row r="160" spans="1:52" ht="8.25" customHeight="1">
      <c r="A160" s="263"/>
      <c r="B160" s="263"/>
      <c r="C160" s="385"/>
      <c r="D160" s="386"/>
      <c r="E160" s="386"/>
      <c r="F160" s="385"/>
      <c r="G160" s="387"/>
      <c r="H160" s="387"/>
      <c r="I160" s="387"/>
      <c r="J160" s="387"/>
      <c r="K160" s="387"/>
      <c r="L160" s="387"/>
      <c r="M160" s="387"/>
      <c r="N160" s="387"/>
      <c r="O160" s="387"/>
      <c r="P160" s="387"/>
      <c r="Q160" s="387"/>
      <c r="R160" s="387"/>
      <c r="S160" s="387"/>
      <c r="T160" s="387"/>
      <c r="U160" s="388"/>
      <c r="V160" s="387"/>
      <c r="W160" s="389"/>
      <c r="X160" s="413"/>
    </row>
    <row r="161" spans="1:52" ht="18" customHeight="1">
      <c r="A161" s="263"/>
      <c r="B161" s="263"/>
      <c r="C161" s="390"/>
      <c r="D161" s="391"/>
      <c r="E161" s="391"/>
      <c r="F161" s="390" t="s">
        <v>1</v>
      </c>
      <c r="G161" s="392"/>
      <c r="H161" s="392"/>
      <c r="I161" s="392"/>
      <c r="J161" s="392"/>
      <c r="K161" s="392"/>
      <c r="L161" s="392"/>
      <c r="M161" s="392">
        <f>+M157</f>
        <v>178167.19</v>
      </c>
      <c r="N161" s="392"/>
      <c r="O161" s="392"/>
      <c r="P161" s="392"/>
      <c r="Q161" s="392"/>
      <c r="R161" s="392"/>
      <c r="S161" s="392"/>
      <c r="T161" s="392"/>
      <c r="U161" s="393"/>
      <c r="V161" s="392"/>
      <c r="W161" s="394"/>
      <c r="X161" s="413"/>
      <c r="Z161" s="392"/>
    </row>
    <row r="162" spans="1:52" ht="18" customHeight="1">
      <c r="A162" s="263"/>
      <c r="B162" s="263"/>
      <c r="C162" s="369"/>
      <c r="D162" s="391"/>
      <c r="E162" s="391"/>
      <c r="F162" s="369" t="s">
        <v>314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393">
        <v>0</v>
      </c>
      <c r="V162" s="392">
        <v>0</v>
      </c>
      <c r="W162" s="395">
        <f>+U162-V162</f>
        <v>0</v>
      </c>
      <c r="X162" s="413"/>
      <c r="Z162" s="392"/>
    </row>
    <row r="163" spans="1:52" ht="18" customHeight="1">
      <c r="A163" s="263"/>
      <c r="B163" s="263"/>
      <c r="C163" s="371"/>
      <c r="D163" s="371"/>
      <c r="E163" s="371"/>
      <c r="F163" s="372" t="s">
        <v>312</v>
      </c>
      <c r="G163" s="373"/>
      <c r="H163" s="373">
        <f t="shared" ref="H163:M163" si="127">+H162*0.16</f>
        <v>0</v>
      </c>
      <c r="I163" s="373">
        <f t="shared" si="127"/>
        <v>0</v>
      </c>
      <c r="J163" s="373">
        <f t="shared" si="127"/>
        <v>0</v>
      </c>
      <c r="K163" s="373">
        <f t="shared" si="127"/>
        <v>0</v>
      </c>
      <c r="L163" s="373">
        <f t="shared" si="127"/>
        <v>0</v>
      </c>
      <c r="M163" s="373">
        <f t="shared" si="127"/>
        <v>0</v>
      </c>
      <c r="N163" s="373"/>
      <c r="O163" s="373"/>
      <c r="P163" s="373"/>
      <c r="Q163" s="373"/>
      <c r="R163" s="373"/>
      <c r="S163" s="373"/>
      <c r="T163" s="373"/>
      <c r="U163" s="374">
        <f>+U162*0.16</f>
        <v>0</v>
      </c>
      <c r="V163" s="396">
        <f>+V162*0.16</f>
        <v>0</v>
      </c>
      <c r="W163" s="396">
        <f>+U163-V163</f>
        <v>0</v>
      </c>
      <c r="X163" s="413"/>
      <c r="Z163" s="373">
        <f t="shared" ref="Z163:AL163" si="128">+Z162*0.16</f>
        <v>0</v>
      </c>
      <c r="AA163" s="373">
        <f t="shared" si="128"/>
        <v>0</v>
      </c>
      <c r="AB163" s="373">
        <f t="shared" si="128"/>
        <v>0</v>
      </c>
      <c r="AC163" s="373">
        <f t="shared" si="128"/>
        <v>0</v>
      </c>
      <c r="AD163" s="373">
        <f t="shared" si="128"/>
        <v>0</v>
      </c>
      <c r="AE163" s="373">
        <f t="shared" si="128"/>
        <v>0</v>
      </c>
      <c r="AF163" s="373">
        <f t="shared" si="128"/>
        <v>0</v>
      </c>
      <c r="AG163" s="373">
        <f t="shared" si="128"/>
        <v>0</v>
      </c>
      <c r="AH163" s="373">
        <f t="shared" si="128"/>
        <v>0</v>
      </c>
      <c r="AI163" s="373">
        <f t="shared" si="128"/>
        <v>0</v>
      </c>
      <c r="AJ163" s="373">
        <f t="shared" si="128"/>
        <v>0</v>
      </c>
      <c r="AK163" s="373">
        <f t="shared" si="128"/>
        <v>0</v>
      </c>
      <c r="AL163" s="373">
        <f t="shared" si="128"/>
        <v>0</v>
      </c>
    </row>
    <row r="164" spans="1:52" ht="18" customHeight="1">
      <c r="A164" s="263"/>
      <c r="B164" s="263"/>
      <c r="C164" s="397">
        <f>+C162+C163</f>
        <v>0</v>
      </c>
      <c r="D164" s="397">
        <f>+D162+D163</f>
        <v>0</v>
      </c>
      <c r="E164" s="397"/>
      <c r="F164" s="376" t="s">
        <v>313</v>
      </c>
      <c r="G164" s="377"/>
      <c r="H164" s="377">
        <f>+H162+H163</f>
        <v>0</v>
      </c>
      <c r="I164" s="377">
        <f t="shared" ref="I164:U164" si="129">+I162+I163</f>
        <v>0</v>
      </c>
      <c r="J164" s="377">
        <f t="shared" si="129"/>
        <v>0</v>
      </c>
      <c r="K164" s="377">
        <f t="shared" si="129"/>
        <v>0</v>
      </c>
      <c r="L164" s="377">
        <f t="shared" si="129"/>
        <v>0</v>
      </c>
      <c r="M164" s="377">
        <f t="shared" si="129"/>
        <v>0</v>
      </c>
      <c r="N164" s="377">
        <f t="shared" si="129"/>
        <v>0</v>
      </c>
      <c r="O164" s="377">
        <f t="shared" si="129"/>
        <v>0</v>
      </c>
      <c r="P164" s="377">
        <f t="shared" si="129"/>
        <v>0</v>
      </c>
      <c r="Q164" s="377">
        <f t="shared" si="129"/>
        <v>0</v>
      </c>
      <c r="R164" s="377">
        <f t="shared" si="129"/>
        <v>0</v>
      </c>
      <c r="S164" s="377">
        <f t="shared" si="129"/>
        <v>0</v>
      </c>
      <c r="T164" s="377">
        <f t="shared" si="129"/>
        <v>0</v>
      </c>
      <c r="U164" s="378">
        <f t="shared" si="129"/>
        <v>0</v>
      </c>
      <c r="V164" s="379">
        <f>+V162+V163</f>
        <v>0</v>
      </c>
      <c r="W164" s="379">
        <f>+U164-V164</f>
        <v>0</v>
      </c>
      <c r="X164" s="413"/>
      <c r="Z164" s="377">
        <f>+Z162+Z163</f>
        <v>0</v>
      </c>
      <c r="AA164" s="377">
        <f t="shared" ref="AA164:AL164" si="130">+AA162+AA163</f>
        <v>0</v>
      </c>
      <c r="AB164" s="377">
        <f t="shared" si="130"/>
        <v>0</v>
      </c>
      <c r="AC164" s="377">
        <f t="shared" si="130"/>
        <v>0</v>
      </c>
      <c r="AD164" s="377">
        <f t="shared" si="130"/>
        <v>0</v>
      </c>
      <c r="AE164" s="377">
        <f t="shared" si="130"/>
        <v>0</v>
      </c>
      <c r="AF164" s="377">
        <f t="shared" si="130"/>
        <v>0</v>
      </c>
      <c r="AG164" s="377">
        <f t="shared" si="130"/>
        <v>0</v>
      </c>
      <c r="AH164" s="377">
        <f t="shared" si="130"/>
        <v>0</v>
      </c>
      <c r="AI164" s="377">
        <f t="shared" si="130"/>
        <v>0</v>
      </c>
      <c r="AJ164" s="377">
        <f t="shared" si="130"/>
        <v>0</v>
      </c>
      <c r="AK164" s="377">
        <f t="shared" si="130"/>
        <v>0</v>
      </c>
      <c r="AL164" s="377">
        <f t="shared" si="130"/>
        <v>0</v>
      </c>
    </row>
    <row r="165" spans="1:52" ht="15" customHeight="1">
      <c r="A165" s="263"/>
      <c r="B165" s="263"/>
      <c r="C165" s="398">
        <f>+C159+C164</f>
        <v>534821.05079999997</v>
      </c>
      <c r="D165" s="398">
        <f>+D159+D164</f>
        <v>3417691.0292000002</v>
      </c>
      <c r="E165" s="383">
        <f t="shared" ref="E165" si="131">+E159+E164</f>
        <v>10261557.745200001</v>
      </c>
      <c r="F165" s="382" t="s">
        <v>329</v>
      </c>
      <c r="G165" s="399"/>
      <c r="H165" s="383">
        <f t="shared" ref="H165:T165" si="132">+H159+H164</f>
        <v>952160.95559999987</v>
      </c>
      <c r="I165" s="383">
        <f t="shared" si="132"/>
        <v>759298.35799999989</v>
      </c>
      <c r="J165" s="383">
        <f t="shared" si="132"/>
        <v>482498.90280000004</v>
      </c>
      <c r="K165" s="383">
        <f t="shared" si="132"/>
        <v>1551378.2232000004</v>
      </c>
      <c r="L165" s="383">
        <f t="shared" si="132"/>
        <v>84281.226799999989</v>
      </c>
      <c r="M165" s="383">
        <f t="shared" si="132"/>
        <v>206673.94039999999</v>
      </c>
      <c r="N165" s="383">
        <f t="shared" si="132"/>
        <v>64426.875600000007</v>
      </c>
      <c r="O165" s="383">
        <f t="shared" si="132"/>
        <v>93876.19</v>
      </c>
      <c r="P165" s="383">
        <f t="shared" si="132"/>
        <v>388895.68399999995</v>
      </c>
      <c r="Q165" s="383">
        <f t="shared" si="132"/>
        <v>251601.62200000003</v>
      </c>
      <c r="R165" s="383">
        <f t="shared" si="132"/>
        <v>3286386.1359999999</v>
      </c>
      <c r="S165" s="383">
        <f t="shared" si="132"/>
        <v>245916.33439999999</v>
      </c>
      <c r="T165" s="383">
        <f t="shared" si="132"/>
        <v>0</v>
      </c>
      <c r="U165" s="384">
        <f>+U159+U164</f>
        <v>8847394.4487999994</v>
      </c>
      <c r="V165" s="400">
        <f>+V159+V164</f>
        <v>2351380.3199999998</v>
      </c>
      <c r="W165" s="400">
        <f>+W159+W164</f>
        <v>6496014.1287999991</v>
      </c>
      <c r="X165" s="413"/>
      <c r="Z165" s="383">
        <f t="shared" ref="Z165:AL165" si="133">+Z159+Z164</f>
        <v>384584.08</v>
      </c>
      <c r="AA165" s="383">
        <f t="shared" si="133"/>
        <v>384584.08</v>
      </c>
      <c r="AB165" s="383">
        <f t="shared" si="133"/>
        <v>384584.08</v>
      </c>
      <c r="AC165" s="383">
        <f t="shared" si="133"/>
        <v>384584.08</v>
      </c>
      <c r="AD165" s="383">
        <f t="shared" si="133"/>
        <v>384584.08</v>
      </c>
      <c r="AE165" s="383">
        <f t="shared" si="133"/>
        <v>384584.08</v>
      </c>
      <c r="AF165" s="383">
        <f t="shared" si="133"/>
        <v>384584.08</v>
      </c>
      <c r="AG165" s="383">
        <f t="shared" si="133"/>
        <v>384584.08</v>
      </c>
      <c r="AH165" s="383">
        <f t="shared" si="133"/>
        <v>384584.08</v>
      </c>
      <c r="AI165" s="383">
        <f t="shared" si="133"/>
        <v>384584.08</v>
      </c>
      <c r="AJ165" s="383">
        <f t="shared" si="133"/>
        <v>384584.08</v>
      </c>
      <c r="AK165" s="383">
        <f t="shared" si="133"/>
        <v>384584.08</v>
      </c>
      <c r="AL165" s="383">
        <f t="shared" si="133"/>
        <v>4615008.96</v>
      </c>
    </row>
    <row r="166" spans="1:52" ht="9.75" customHeight="1">
      <c r="A166" s="263"/>
      <c r="B166" s="263"/>
      <c r="C166" s="401"/>
      <c r="D166" s="402"/>
      <c r="E166" s="402"/>
      <c r="F166" s="403"/>
      <c r="G166" s="403"/>
      <c r="H166" s="403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402"/>
      <c r="V166" s="401"/>
      <c r="W166" s="404"/>
      <c r="X166" s="413"/>
      <c r="Z166" s="403"/>
      <c r="AA166" s="403"/>
      <c r="AB166" s="403"/>
      <c r="AC166" s="403"/>
      <c r="AD166" s="403"/>
      <c r="AE166" s="403"/>
      <c r="AF166" s="403"/>
      <c r="AG166" s="403"/>
      <c r="AH166" s="403"/>
      <c r="AI166" s="403"/>
      <c r="AJ166" s="403"/>
      <c r="AK166" s="403"/>
      <c r="AL166" s="403"/>
    </row>
    <row r="167" spans="1:52" s="409" customFormat="1" ht="19.5" thickBot="1">
      <c r="A167" s="405"/>
      <c r="B167" s="405"/>
      <c r="C167" s="406">
        <f>+C124-C165</f>
        <v>-1182371.7667999999</v>
      </c>
      <c r="D167" s="406">
        <f>+D124-D165</f>
        <v>1379105.5108000026</v>
      </c>
      <c r="E167" s="406">
        <f>+E124-E165</f>
        <v>203106.57479999587</v>
      </c>
      <c r="F167" s="407" t="s">
        <v>317</v>
      </c>
      <c r="G167" s="407"/>
      <c r="H167" s="406">
        <f t="shared" ref="H167:W167" si="134">+H124-H165</f>
        <v>1216809.8299999996</v>
      </c>
      <c r="I167" s="406">
        <f t="shared" si="134"/>
        <v>1831794.4500000002</v>
      </c>
      <c r="J167" s="406">
        <f t="shared" si="134"/>
        <v>674878.9299999997</v>
      </c>
      <c r="K167" s="406">
        <f t="shared" si="134"/>
        <v>-1328601.7300000004</v>
      </c>
      <c r="L167" s="406">
        <f t="shared" si="134"/>
        <v>1493392.7200000002</v>
      </c>
      <c r="M167" s="406">
        <f t="shared" si="134"/>
        <v>968715.44999999949</v>
      </c>
      <c r="N167" s="406">
        <f t="shared" si="134"/>
        <v>957455.11000000022</v>
      </c>
      <c r="O167" s="406">
        <f t="shared" si="134"/>
        <v>-629946.68999999994</v>
      </c>
      <c r="P167" s="406">
        <f t="shared" si="134"/>
        <v>-1289426.47</v>
      </c>
      <c r="Q167" s="406">
        <f t="shared" si="134"/>
        <v>-1012806.4700000002</v>
      </c>
      <c r="R167" s="406">
        <f t="shared" si="134"/>
        <v>-1407480.2600000002</v>
      </c>
      <c r="S167" s="406">
        <f t="shared" si="134"/>
        <v>1105277.4700000007</v>
      </c>
      <c r="T167" s="406">
        <f t="shared" si="134"/>
        <v>0</v>
      </c>
      <c r="U167" s="406">
        <f t="shared" si="134"/>
        <v>2106062.3400000017</v>
      </c>
      <c r="V167" s="406">
        <f t="shared" si="134"/>
        <v>-2421186.3199999998</v>
      </c>
      <c r="W167" s="406">
        <f t="shared" si="134"/>
        <v>3027248.66</v>
      </c>
      <c r="X167" s="413"/>
      <c r="Z167" s="406">
        <f t="shared" ref="Z167:AL167" si="135">+Z124-Z165</f>
        <v>152124.52654666669</v>
      </c>
      <c r="AA167" s="406">
        <f t="shared" si="135"/>
        <v>-1631787.8306</v>
      </c>
      <c r="AB167" s="406">
        <f t="shared" si="135"/>
        <v>-2029791.6600600001</v>
      </c>
      <c r="AC167" s="406">
        <f t="shared" si="135"/>
        <v>-1448248.5156399999</v>
      </c>
      <c r="AD167" s="406">
        <f t="shared" si="135"/>
        <v>-1621222.8348600001</v>
      </c>
      <c r="AE167" s="406">
        <f t="shared" si="135"/>
        <v>-2132967.3815799998</v>
      </c>
      <c r="AF167" s="406">
        <f t="shared" si="135"/>
        <v>-1593372.2056200001</v>
      </c>
      <c r="AG167" s="406">
        <f t="shared" si="135"/>
        <v>-1570216.9074999997</v>
      </c>
      <c r="AH167" s="406">
        <f t="shared" si="135"/>
        <v>-1691620.3953</v>
      </c>
      <c r="AI167" s="406">
        <f t="shared" si="135"/>
        <v>-1979856.1984000003</v>
      </c>
      <c r="AJ167" s="406">
        <f t="shared" si="135"/>
        <v>-1907546.5271999999</v>
      </c>
      <c r="AK167" s="406">
        <f t="shared" si="135"/>
        <v>-2252215.8413800001</v>
      </c>
      <c r="AL167" s="406">
        <f t="shared" si="135"/>
        <v>-2215018.7057600012</v>
      </c>
      <c r="AZ167" s="421"/>
    </row>
    <row r="168" spans="1:52" s="409" customFormat="1" ht="9" customHeight="1" thickTop="1">
      <c r="A168" s="405"/>
      <c r="B168" s="405"/>
      <c r="C168" s="410"/>
      <c r="D168" s="315"/>
      <c r="E168" s="315"/>
      <c r="F168" s="393"/>
      <c r="G168" s="393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  <c r="V168" s="410"/>
      <c r="W168" s="411"/>
      <c r="X168" s="408"/>
      <c r="Z168" s="421"/>
      <c r="AZ168" s="421"/>
    </row>
    <row r="169" spans="1:52" ht="18.75">
      <c r="D169" s="402">
        <v>4488678.2600000007</v>
      </c>
      <c r="E169" s="402">
        <v>4510572.96</v>
      </c>
      <c r="F169" s="260" t="s">
        <v>330</v>
      </c>
      <c r="H169" s="412">
        <v>352772.15</v>
      </c>
      <c r="I169" s="412">
        <v>352772.15</v>
      </c>
      <c r="J169" s="412">
        <v>352772.15</v>
      </c>
      <c r="K169" s="412">
        <v>352772.15</v>
      </c>
      <c r="L169" s="412">
        <v>352772.15</v>
      </c>
      <c r="M169" s="412">
        <v>352772.15</v>
      </c>
      <c r="N169" s="412">
        <v>352772.15</v>
      </c>
      <c r="O169" s="412">
        <v>352772.15</v>
      </c>
      <c r="P169" s="412">
        <v>352772.15</v>
      </c>
      <c r="Q169" s="413">
        <v>385793.66</v>
      </c>
      <c r="R169" s="413">
        <v>385793.66</v>
      </c>
      <c r="S169" s="413"/>
      <c r="T169" s="413"/>
      <c r="U169" s="294">
        <f>SUM(H169:T169)</f>
        <v>3946536.67</v>
      </c>
      <c r="V169" s="402">
        <f>SUM(I169:S169)</f>
        <v>3593764.52</v>
      </c>
      <c r="W169" s="414"/>
    </row>
    <row r="170" spans="1:52">
      <c r="P170" s="416"/>
      <c r="Q170" s="416"/>
      <c r="R170" s="416"/>
      <c r="S170" s="417"/>
      <c r="T170" s="417"/>
      <c r="U170" s="418"/>
    </row>
    <row r="171" spans="1:52">
      <c r="I171" s="418"/>
      <c r="J171" s="418"/>
      <c r="K171" s="418"/>
      <c r="L171" s="418"/>
      <c r="M171" s="418"/>
      <c r="N171" s="418"/>
      <c r="O171" s="418"/>
      <c r="P171" s="418"/>
      <c r="Q171" s="416"/>
      <c r="R171" s="416"/>
      <c r="S171" s="417"/>
      <c r="T171" s="417"/>
      <c r="U171" s="419"/>
    </row>
    <row r="172" spans="1:52" s="261" customFormat="1">
      <c r="A172" s="260"/>
      <c r="B172" s="260"/>
      <c r="C172" s="177"/>
      <c r="D172" s="177"/>
      <c r="E172" s="177"/>
      <c r="F172" s="260"/>
      <c r="G172" s="260"/>
      <c r="H172" s="260"/>
      <c r="I172" s="418"/>
      <c r="J172" s="418"/>
      <c r="K172" s="419"/>
      <c r="L172" s="419"/>
      <c r="M172" s="418"/>
      <c r="N172" s="418"/>
      <c r="O172" s="418"/>
      <c r="P172" s="416"/>
      <c r="Q172" s="416"/>
      <c r="R172" s="416"/>
      <c r="S172" s="417"/>
      <c r="T172" s="417"/>
      <c r="U172" s="419"/>
      <c r="V172" s="265"/>
      <c r="X172" s="262"/>
      <c r="Z172" s="422"/>
      <c r="AZ172" s="422"/>
    </row>
    <row r="173" spans="1:52" s="261" customFormat="1">
      <c r="A173" s="260"/>
      <c r="B173" s="260"/>
      <c r="C173" s="177"/>
      <c r="D173" s="177"/>
      <c r="E173" s="177"/>
      <c r="F173" s="260"/>
      <c r="G173" s="260"/>
      <c r="H173" s="260"/>
      <c r="I173" s="415"/>
      <c r="J173" s="415"/>
      <c r="K173" s="419"/>
      <c r="L173" s="415"/>
      <c r="M173" s="415"/>
      <c r="N173" s="415"/>
      <c r="O173" s="415"/>
      <c r="P173" s="416"/>
      <c r="Q173" s="416"/>
      <c r="R173" s="416"/>
      <c r="S173" s="417"/>
      <c r="T173" s="417"/>
      <c r="U173" s="420"/>
      <c r="V173" s="265"/>
      <c r="X173" s="262"/>
      <c r="Z173" s="422"/>
      <c r="AZ173" s="422"/>
    </row>
    <row r="174" spans="1:52" s="261" customFormat="1">
      <c r="A174" s="260"/>
      <c r="B174" s="260"/>
      <c r="C174" s="177"/>
      <c r="D174" s="177"/>
      <c r="E174" s="177"/>
      <c r="F174" s="260"/>
      <c r="G174" s="260"/>
      <c r="H174" s="260"/>
      <c r="I174" s="415"/>
      <c r="J174" s="415"/>
      <c r="K174" s="415"/>
      <c r="L174" s="419"/>
      <c r="M174" s="415"/>
      <c r="N174" s="415"/>
      <c r="O174" s="415"/>
      <c r="P174" s="416"/>
      <c r="Q174" s="416"/>
      <c r="R174" s="416"/>
      <c r="S174" s="417"/>
      <c r="T174" s="417"/>
      <c r="U174" s="419"/>
      <c r="V174" s="265"/>
      <c r="X174" s="262"/>
      <c r="Z174" s="422"/>
      <c r="AZ174" s="422"/>
    </row>
    <row r="175" spans="1:52" s="261" customFormat="1">
      <c r="A175" s="260"/>
      <c r="B175" s="260"/>
      <c r="C175" s="177"/>
      <c r="D175" s="177"/>
      <c r="E175" s="177"/>
      <c r="F175" s="260"/>
      <c r="G175" s="260"/>
      <c r="H175" s="260"/>
      <c r="I175" s="415"/>
      <c r="J175" s="415"/>
      <c r="K175" s="415"/>
      <c r="L175" s="415"/>
      <c r="M175" s="415"/>
      <c r="N175" s="415"/>
      <c r="O175" s="415"/>
      <c r="P175" s="416"/>
      <c r="Q175" s="416"/>
      <c r="R175" s="416"/>
      <c r="S175" s="416"/>
      <c r="T175" s="416"/>
      <c r="U175" s="415"/>
      <c r="V175" s="265"/>
      <c r="X175" s="262"/>
      <c r="Z175" s="422"/>
      <c r="AZ175" s="422"/>
    </row>
    <row r="176" spans="1:52" s="261" customFormat="1">
      <c r="A176" s="260"/>
      <c r="B176" s="260"/>
      <c r="C176" s="177"/>
      <c r="D176" s="177"/>
      <c r="E176" s="177"/>
      <c r="F176" s="260"/>
      <c r="G176" s="260"/>
      <c r="H176" s="260"/>
      <c r="I176" s="415"/>
      <c r="J176" s="415"/>
      <c r="K176" s="415"/>
      <c r="L176" s="415"/>
      <c r="M176" s="415"/>
      <c r="N176" s="415"/>
      <c r="O176" s="415"/>
      <c r="P176" s="416"/>
      <c r="Q176" s="416"/>
      <c r="R176" s="416"/>
      <c r="S176" s="417"/>
      <c r="T176" s="417"/>
      <c r="U176" s="419"/>
      <c r="V176" s="265"/>
      <c r="X176" s="262"/>
      <c r="Z176" s="422"/>
      <c r="AZ176" s="422"/>
    </row>
    <row r="177" spans="1:52" s="261" customFormat="1">
      <c r="A177" s="260"/>
      <c r="B177" s="260"/>
      <c r="C177" s="177"/>
      <c r="D177" s="177"/>
      <c r="E177" s="177"/>
      <c r="F177" s="260"/>
      <c r="G177" s="260"/>
      <c r="H177" s="260"/>
      <c r="I177" s="415"/>
      <c r="J177" s="415"/>
      <c r="K177" s="415"/>
      <c r="L177" s="415"/>
      <c r="M177" s="415"/>
      <c r="N177" s="415"/>
      <c r="O177" s="415"/>
      <c r="P177" s="416"/>
      <c r="Q177" s="416"/>
      <c r="R177" s="416"/>
      <c r="S177" s="417"/>
      <c r="T177" s="417"/>
      <c r="U177" s="420"/>
      <c r="V177" s="265"/>
      <c r="X177" s="262"/>
      <c r="Z177" s="422"/>
      <c r="AZ177" s="422"/>
    </row>
    <row r="178" spans="1:52" s="261" customFormat="1">
      <c r="A178" s="260"/>
      <c r="B178" s="260"/>
      <c r="C178" s="177"/>
      <c r="D178" s="177"/>
      <c r="E178" s="177"/>
      <c r="F178" s="260"/>
      <c r="G178" s="260"/>
      <c r="H178" s="260"/>
      <c r="I178" s="415"/>
      <c r="J178" s="415"/>
      <c r="K178" s="415"/>
      <c r="L178" s="415"/>
      <c r="M178" s="415"/>
      <c r="N178" s="415"/>
      <c r="O178" s="415"/>
      <c r="P178" s="416"/>
      <c r="Q178" s="416"/>
      <c r="R178" s="416"/>
      <c r="S178" s="416"/>
      <c r="T178" s="416"/>
      <c r="U178" s="420"/>
      <c r="V178" s="265"/>
      <c r="X178" s="262"/>
      <c r="Z178" s="422"/>
      <c r="AZ178" s="422"/>
    </row>
    <row r="179" spans="1:52" s="261" customFormat="1">
      <c r="A179" s="260"/>
      <c r="B179" s="260"/>
      <c r="C179" s="177"/>
      <c r="D179" s="177"/>
      <c r="E179" s="177"/>
      <c r="F179" s="260"/>
      <c r="G179" s="260"/>
      <c r="H179" s="260"/>
      <c r="I179" s="415"/>
      <c r="J179" s="415"/>
      <c r="K179" s="415"/>
      <c r="L179" s="415"/>
      <c r="M179" s="415"/>
      <c r="N179" s="415"/>
      <c r="O179" s="415"/>
      <c r="P179" s="415"/>
      <c r="Q179" s="415"/>
      <c r="R179" s="415"/>
      <c r="S179" s="415"/>
      <c r="T179" s="415"/>
      <c r="U179" s="420"/>
      <c r="V179" s="265"/>
      <c r="X179" s="262"/>
      <c r="Z179" s="422"/>
      <c r="AZ179" s="422"/>
    </row>
    <row r="180" spans="1:52" s="261" customFormat="1">
      <c r="A180" s="260"/>
      <c r="B180" s="260"/>
      <c r="C180" s="177"/>
      <c r="D180" s="177"/>
      <c r="E180" s="177"/>
      <c r="F180" s="260"/>
      <c r="G180" s="260"/>
      <c r="H180" s="260"/>
      <c r="I180" s="415"/>
      <c r="J180" s="415"/>
      <c r="K180" s="415"/>
      <c r="L180" s="415"/>
      <c r="M180" s="415"/>
      <c r="N180" s="415"/>
      <c r="O180" s="415"/>
      <c r="P180" s="415"/>
      <c r="Q180" s="415"/>
      <c r="R180" s="415"/>
      <c r="S180" s="415"/>
      <c r="T180" s="415"/>
      <c r="U180" s="420"/>
      <c r="V180" s="265"/>
      <c r="X180" s="262"/>
      <c r="Z180" s="422"/>
      <c r="AZ180" s="422"/>
    </row>
    <row r="181" spans="1:52" s="261" customFormat="1">
      <c r="A181" s="260"/>
      <c r="B181" s="260"/>
      <c r="C181" s="177"/>
      <c r="D181" s="177"/>
      <c r="E181" s="177"/>
      <c r="F181" s="260"/>
      <c r="G181" s="260"/>
      <c r="H181" s="260"/>
      <c r="I181" s="415"/>
      <c r="J181" s="415"/>
      <c r="K181" s="415"/>
      <c r="L181" s="415"/>
      <c r="M181" s="415"/>
      <c r="N181" s="415"/>
      <c r="O181" s="415"/>
      <c r="P181" s="415"/>
      <c r="Q181" s="415"/>
      <c r="R181" s="415"/>
      <c r="S181" s="415"/>
      <c r="T181" s="415"/>
      <c r="U181" s="420"/>
      <c r="V181" s="265"/>
      <c r="X181" s="262"/>
      <c r="Z181" s="422"/>
      <c r="AZ181" s="422"/>
    </row>
    <row r="182" spans="1:52" s="261" customFormat="1">
      <c r="A182" s="260"/>
      <c r="B182" s="260"/>
      <c r="C182" s="177"/>
      <c r="D182" s="177"/>
      <c r="E182" s="177"/>
      <c r="F182" s="260"/>
      <c r="G182" s="260"/>
      <c r="H182" s="260"/>
      <c r="I182" s="415"/>
      <c r="J182" s="415"/>
      <c r="K182" s="415"/>
      <c r="L182" s="415"/>
      <c r="M182" s="415"/>
      <c r="N182" s="415"/>
      <c r="O182" s="415"/>
      <c r="P182" s="415"/>
      <c r="Q182" s="415"/>
      <c r="R182" s="415"/>
      <c r="S182" s="415"/>
      <c r="T182" s="415"/>
      <c r="U182" s="420"/>
      <c r="V182" s="265"/>
      <c r="X182" s="262"/>
      <c r="Z182" s="422"/>
      <c r="AZ182" s="422"/>
    </row>
  </sheetData>
  <mergeCells count="2">
    <mergeCell ref="C2:V2"/>
    <mergeCell ref="F4:U4"/>
  </mergeCells>
  <pageMargins left="0.59055118110236227" right="0.23622047244094491" top="0.59055118110236227" bottom="0.59055118110236227" header="0" footer="0"/>
  <pageSetup scale="53" fitToHeight="2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B2:Q65"/>
  <sheetViews>
    <sheetView tabSelected="1" zoomScale="87" zoomScaleNormal="87" workbookViewId="0">
      <pane xSplit="3" ySplit="10" topLeftCell="D11" activePane="bottomRight" state="frozen"/>
      <selection activeCell="B30" sqref="B30"/>
      <selection pane="topRight" activeCell="B30" sqref="B30"/>
      <selection pane="bottomLeft" activeCell="B30" sqref="B30"/>
      <selection pane="bottomRight" activeCell="R20" sqref="R20"/>
    </sheetView>
  </sheetViews>
  <sheetFormatPr baseColWidth="10" defaultRowHeight="14.25"/>
  <cols>
    <col min="1" max="1" width="5.85546875" style="260" customWidth="1"/>
    <col min="2" max="2" width="54.140625" style="260" customWidth="1"/>
    <col min="3" max="3" width="5.42578125" style="260" customWidth="1"/>
    <col min="4" max="4" width="15.7109375" style="415" customWidth="1"/>
    <col min="5" max="5" width="17.28515625" style="318" customWidth="1"/>
    <col min="6" max="6" width="4.5703125" style="499" hidden="1" customWidth="1"/>
    <col min="7" max="7" width="3.5703125" style="261" hidden="1" customWidth="1"/>
    <col min="8" max="8" width="0" style="261" hidden="1" customWidth="1"/>
    <col min="9" max="9" width="14.5703125" style="261" hidden="1" customWidth="1"/>
    <col min="10" max="10" width="0" style="261" hidden="1" customWidth="1"/>
    <col min="11" max="11" width="14.42578125" style="261" hidden="1" customWidth="1"/>
    <col min="12" max="14" width="0" style="261" hidden="1" customWidth="1"/>
    <col min="15" max="15" width="11.42578125" style="261"/>
    <col min="16" max="16" width="12.85546875" style="260" bestFit="1" customWidth="1"/>
    <col min="17" max="17" width="13.7109375" style="260" bestFit="1" customWidth="1"/>
    <col min="18" max="16384" width="11.42578125" style="260"/>
  </cols>
  <sheetData>
    <row r="2" spans="2:15" ht="23.25">
      <c r="B2" s="544" t="s">
        <v>376</v>
      </c>
      <c r="C2" s="544"/>
      <c r="D2" s="544"/>
      <c r="E2" s="544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3" spans="2:15" ht="18">
      <c r="B3" s="545" t="s">
        <v>384</v>
      </c>
      <c r="C3" s="545"/>
      <c r="D3" s="545"/>
      <c r="E3" s="545"/>
      <c r="F3" s="534"/>
      <c r="G3" s="534"/>
      <c r="H3" s="534"/>
      <c r="I3" s="534"/>
      <c r="J3" s="534"/>
      <c r="K3" s="534"/>
      <c r="L3" s="534"/>
      <c r="M3" s="534"/>
      <c r="N3" s="534"/>
      <c r="O3" s="534"/>
    </row>
    <row r="4" spans="2:15" ht="20.25">
      <c r="B4" s="492"/>
      <c r="C4" s="493"/>
      <c r="D4" s="494"/>
      <c r="E4" s="519"/>
      <c r="F4" s="520"/>
      <c r="G4" s="521"/>
      <c r="H4" s="521"/>
      <c r="I4" s="521"/>
      <c r="J4" s="521"/>
      <c r="K4" s="521"/>
    </row>
    <row r="5" spans="2:15" ht="15.75">
      <c r="D5" s="269"/>
    </row>
    <row r="6" spans="2:15" ht="15">
      <c r="B6" s="270"/>
      <c r="C6" s="270"/>
      <c r="D6" s="272"/>
    </row>
    <row r="7" spans="2:15" ht="9" customHeight="1">
      <c r="B7" s="273"/>
      <c r="C7" s="273"/>
      <c r="D7" s="274"/>
    </row>
    <row r="8" spans="2:15" ht="15" customHeight="1">
      <c r="B8" s="273"/>
      <c r="C8" s="273"/>
      <c r="D8" s="495" t="s">
        <v>136</v>
      </c>
      <c r="E8" s="496" t="s">
        <v>139</v>
      </c>
    </row>
    <row r="9" spans="2:15" ht="15">
      <c r="B9" s="278" t="s">
        <v>77</v>
      </c>
      <c r="C9" s="279"/>
      <c r="D9" s="531" t="s">
        <v>385</v>
      </c>
      <c r="E9" s="531" t="s">
        <v>386</v>
      </c>
    </row>
    <row r="10" spans="2:15" ht="18">
      <c r="B10" s="497" t="s">
        <v>4</v>
      </c>
      <c r="C10" s="284"/>
      <c r="D10" s="283"/>
      <c r="E10" s="286"/>
    </row>
    <row r="11" spans="2:15" ht="18">
      <c r="B11" s="288"/>
      <c r="C11" s="289"/>
      <c r="D11" s="498"/>
      <c r="E11" s="292"/>
    </row>
    <row r="12" spans="2:15">
      <c r="B12" s="295"/>
      <c r="C12" s="296"/>
      <c r="D12" s="294"/>
      <c r="E12" s="297"/>
    </row>
    <row r="13" spans="2:15">
      <c r="B13" s="295" t="s">
        <v>5</v>
      </c>
      <c r="C13" s="296"/>
      <c r="D13" s="294">
        <v>149576</v>
      </c>
      <c r="E13" s="294">
        <v>145833</v>
      </c>
    </row>
    <row r="14" spans="2:15">
      <c r="B14" s="298" t="s">
        <v>13</v>
      </c>
      <c r="C14" s="296"/>
      <c r="D14" s="294">
        <v>15345</v>
      </c>
      <c r="E14" s="294">
        <v>30625</v>
      </c>
    </row>
    <row r="15" spans="2:15">
      <c r="B15" s="295" t="s">
        <v>12</v>
      </c>
      <c r="C15" s="296"/>
      <c r="D15" s="294">
        <v>160499</v>
      </c>
      <c r="E15" s="294">
        <v>138425</v>
      </c>
      <c r="F15" s="522"/>
    </row>
    <row r="16" spans="2:15">
      <c r="B16" s="295" t="s">
        <v>67</v>
      </c>
      <c r="C16" s="296"/>
      <c r="D16" s="294">
        <v>31144</v>
      </c>
      <c r="E16" s="294">
        <v>21438</v>
      </c>
    </row>
    <row r="17" spans="2:17">
      <c r="B17" s="295" t="s">
        <v>383</v>
      </c>
      <c r="C17" s="296"/>
      <c r="D17" s="294">
        <v>17850</v>
      </c>
      <c r="E17" s="294">
        <v>24500</v>
      </c>
      <c r="P17" s="518"/>
    </row>
    <row r="18" spans="2:17" ht="15">
      <c r="B18" s="300" t="s">
        <v>374</v>
      </c>
      <c r="C18" s="296"/>
      <c r="D18" s="294">
        <v>227711</v>
      </c>
      <c r="E18" s="294">
        <v>300417</v>
      </c>
      <c r="Q18" s="535"/>
    </row>
    <row r="19" spans="2:17">
      <c r="B19" s="298"/>
      <c r="C19" s="296"/>
      <c r="D19" s="294"/>
      <c r="E19" s="297"/>
      <c r="Q19" s="535"/>
    </row>
    <row r="20" spans="2:17" ht="15">
      <c r="B20" s="301" t="s">
        <v>89</v>
      </c>
      <c r="C20" s="296"/>
      <c r="D20" s="294"/>
      <c r="E20" s="297"/>
    </row>
    <row r="21" spans="2:17" ht="15.75">
      <c r="B21" s="302" t="s">
        <v>300</v>
      </c>
      <c r="C21" s="296"/>
      <c r="D21" s="294">
        <v>2400000</v>
      </c>
      <c r="E21" s="294">
        <v>3500000</v>
      </c>
      <c r="O21" s="491"/>
    </row>
    <row r="22" spans="2:17">
      <c r="B22" s="302" t="s">
        <v>301</v>
      </c>
      <c r="C22" s="296"/>
      <c r="D22" s="294">
        <v>500000</v>
      </c>
      <c r="E22" s="294">
        <v>583333</v>
      </c>
    </row>
    <row r="23" spans="2:17">
      <c r="B23" s="295" t="s">
        <v>86</v>
      </c>
      <c r="C23" s="296"/>
      <c r="D23" s="294">
        <v>500000</v>
      </c>
      <c r="E23" s="294">
        <v>583333</v>
      </c>
    </row>
    <row r="24" spans="2:17">
      <c r="B24" s="302" t="s">
        <v>375</v>
      </c>
      <c r="C24" s="296"/>
      <c r="D24" s="294">
        <v>4000000</v>
      </c>
      <c r="E24" s="294">
        <v>6125000</v>
      </c>
    </row>
    <row r="25" spans="2:17">
      <c r="B25" s="302" t="s">
        <v>373</v>
      </c>
      <c r="C25" s="296"/>
      <c r="D25" s="294">
        <v>1777000</v>
      </c>
      <c r="E25" s="294">
        <v>453250</v>
      </c>
    </row>
    <row r="26" spans="2:17">
      <c r="B26" s="302" t="s">
        <v>38</v>
      </c>
      <c r="C26" s="296"/>
      <c r="D26" s="294">
        <v>155030</v>
      </c>
      <c r="E26" s="297">
        <v>0</v>
      </c>
    </row>
    <row r="27" spans="2:17">
      <c r="B27" s="295"/>
      <c r="C27" s="296"/>
      <c r="D27" s="260"/>
      <c r="E27" s="297"/>
      <c r="I27" s="261" t="s">
        <v>377</v>
      </c>
    </row>
    <row r="28" spans="2:17" ht="15">
      <c r="B28" s="301" t="s">
        <v>90</v>
      </c>
      <c r="C28" s="296"/>
      <c r="D28" s="303">
        <f>SUM(D21:D27)</f>
        <v>9332030</v>
      </c>
      <c r="E28" s="303">
        <f>SUM(E21:N27)</f>
        <v>11244916</v>
      </c>
      <c r="F28" s="499" t="s">
        <v>372</v>
      </c>
      <c r="I28" s="523">
        <v>13000</v>
      </c>
      <c r="J28" s="261" t="s">
        <v>369</v>
      </c>
    </row>
    <row r="29" spans="2:17">
      <c r="B29" s="302"/>
      <c r="C29" s="305"/>
      <c r="D29" s="294"/>
      <c r="E29" s="297"/>
      <c r="I29" s="523">
        <v>1800</v>
      </c>
      <c r="J29" s="261" t="s">
        <v>370</v>
      </c>
    </row>
    <row r="30" spans="2:17">
      <c r="B30" s="302"/>
      <c r="C30" s="305"/>
      <c r="D30" s="294"/>
      <c r="E30" s="297"/>
      <c r="I30" s="523">
        <v>8000</v>
      </c>
      <c r="J30" s="261" t="s">
        <v>371</v>
      </c>
    </row>
    <row r="31" spans="2:17">
      <c r="B31" s="302" t="s">
        <v>57</v>
      </c>
      <c r="C31" s="305"/>
      <c r="D31" s="294">
        <v>23321</v>
      </c>
      <c r="E31" s="297">
        <v>29167</v>
      </c>
      <c r="P31" s="532"/>
    </row>
    <row r="32" spans="2:17" ht="15" thickBot="1">
      <c r="B32" s="302" t="s">
        <v>381</v>
      </c>
      <c r="C32" s="305"/>
      <c r="D32" s="294">
        <v>0</v>
      </c>
      <c r="E32" s="297">
        <v>291667</v>
      </c>
    </row>
    <row r="33" spans="2:16" ht="15.75" thickBot="1">
      <c r="B33" s="500" t="s">
        <v>135</v>
      </c>
      <c r="C33" s="501"/>
      <c r="D33" s="502">
        <f>SUM(D13:D26)+D31</f>
        <v>9957476</v>
      </c>
      <c r="E33" s="502">
        <f>SUM(E13:E27)+E31+E32</f>
        <v>12226988</v>
      </c>
      <c r="P33" s="485"/>
    </row>
    <row r="34" spans="2:16" ht="15">
      <c r="B34" s="263"/>
      <c r="C34" s="263"/>
      <c r="D34" s="314"/>
      <c r="E34" s="315"/>
    </row>
    <row r="35" spans="2:16" ht="18">
      <c r="B35" s="503" t="s">
        <v>96</v>
      </c>
      <c r="C35" s="263"/>
      <c r="D35" s="316"/>
      <c r="E35" s="404"/>
    </row>
    <row r="36" spans="2:16" ht="15">
      <c r="B36" s="504" t="s">
        <v>15</v>
      </c>
      <c r="C36" s="505"/>
      <c r="D36" s="455">
        <v>166327</v>
      </c>
      <c r="E36" s="455">
        <v>233666</v>
      </c>
    </row>
    <row r="37" spans="2:16">
      <c r="B37" s="331"/>
      <c r="C37" s="331"/>
      <c r="D37" s="316"/>
    </row>
    <row r="38" spans="2:16" ht="15">
      <c r="B38" s="504" t="s">
        <v>378</v>
      </c>
      <c r="C38" s="506"/>
      <c r="D38" s="455">
        <v>9683709</v>
      </c>
      <c r="E38" s="455">
        <v>9914104</v>
      </c>
      <c r="F38" s="524"/>
      <c r="P38" s="457"/>
    </row>
    <row r="39" spans="2:16" ht="15">
      <c r="B39" s="342"/>
      <c r="C39" s="342"/>
      <c r="D39" s="341"/>
      <c r="F39" s="524"/>
      <c r="P39" s="315"/>
    </row>
    <row r="40" spans="2:16" ht="15">
      <c r="B40" s="504" t="s">
        <v>99</v>
      </c>
      <c r="C40" s="506"/>
      <c r="D40" s="507">
        <v>2229979</v>
      </c>
      <c r="E40" s="507">
        <v>2306703</v>
      </c>
      <c r="F40" s="524"/>
      <c r="G40" s="404"/>
    </row>
    <row r="41" spans="2:16" ht="15.75" thickBot="1">
      <c r="B41" s="364"/>
      <c r="C41" s="359"/>
      <c r="D41" s="392"/>
      <c r="E41" s="392"/>
      <c r="F41" s="524"/>
      <c r="G41" s="404"/>
    </row>
    <row r="42" spans="2:16" ht="15.75" thickBot="1">
      <c r="B42" s="500" t="s">
        <v>48</v>
      </c>
      <c r="C42" s="508"/>
      <c r="D42" s="509">
        <f>D36+D38+D40</f>
        <v>12080015</v>
      </c>
      <c r="E42" s="509">
        <f>E36+E38+E40</f>
        <v>12454473</v>
      </c>
      <c r="F42" s="524"/>
      <c r="G42" s="404"/>
    </row>
    <row r="43" spans="2:16" ht="18.75" customHeight="1">
      <c r="D43" s="260"/>
      <c r="E43" s="261"/>
      <c r="F43" s="524"/>
    </row>
    <row r="44" spans="2:16" ht="19.5" customHeight="1">
      <c r="B44" s="359"/>
      <c r="C44" s="359"/>
      <c r="D44" s="315"/>
      <c r="E44" s="315"/>
      <c r="F44" s="524"/>
    </row>
    <row r="45" spans="2:16" ht="18.75" customHeight="1">
      <c r="B45" s="510" t="s">
        <v>382</v>
      </c>
      <c r="C45" s="511"/>
      <c r="D45" s="512">
        <f>D33-D42</f>
        <v>-2122539</v>
      </c>
      <c r="E45" s="512">
        <f>E33-E42</f>
        <v>-227485</v>
      </c>
      <c r="F45" s="524"/>
    </row>
    <row r="46" spans="2:16" ht="16.5" customHeight="1">
      <c r="B46" s="359"/>
      <c r="C46" s="359"/>
      <c r="D46" s="315"/>
      <c r="E46" s="315"/>
      <c r="F46" s="524"/>
    </row>
    <row r="47" spans="2:16" ht="18" hidden="1" customHeight="1">
      <c r="B47" s="510" t="s">
        <v>379</v>
      </c>
      <c r="C47" s="513"/>
      <c r="D47" s="514">
        <v>1688</v>
      </c>
      <c r="E47" s="525"/>
      <c r="F47" s="524"/>
    </row>
    <row r="48" spans="2:16" ht="15" hidden="1" customHeight="1">
      <c r="B48" s="385"/>
      <c r="C48" s="387"/>
      <c r="D48" s="515"/>
      <c r="E48" s="526"/>
      <c r="F48" s="524"/>
    </row>
    <row r="49" spans="2:15" ht="15" hidden="1" customHeight="1">
      <c r="B49" s="516"/>
      <c r="C49" s="403"/>
      <c r="D49" s="294"/>
      <c r="E49" s="297"/>
      <c r="F49" s="524"/>
    </row>
    <row r="50" spans="2:15" s="409" customFormat="1" ht="19.5" hidden="1" thickBot="1">
      <c r="B50" s="517" t="s">
        <v>380</v>
      </c>
      <c r="C50" s="407"/>
      <c r="D50" s="406">
        <v>-3335041.9423999991</v>
      </c>
      <c r="E50" s="527">
        <v>-127494.5</v>
      </c>
      <c r="F50" s="524"/>
      <c r="G50" s="528"/>
      <c r="H50" s="528"/>
      <c r="I50" s="528"/>
      <c r="J50" s="528"/>
      <c r="K50" s="528"/>
      <c r="L50" s="528"/>
      <c r="M50" s="528"/>
      <c r="N50" s="528"/>
      <c r="O50" s="528"/>
    </row>
    <row r="51" spans="2:15" s="409" customFormat="1" ht="18.75" hidden="1" customHeight="1" thickTop="1">
      <c r="B51" s="393"/>
      <c r="C51" s="393"/>
      <c r="D51" s="315"/>
      <c r="E51" s="411"/>
      <c r="F51" s="529"/>
      <c r="G51" s="528"/>
      <c r="H51" s="528"/>
      <c r="I51" s="528"/>
      <c r="J51" s="528"/>
      <c r="K51" s="528"/>
      <c r="L51" s="528"/>
      <c r="M51" s="528"/>
      <c r="N51" s="528"/>
      <c r="O51" s="528"/>
    </row>
    <row r="52" spans="2:15" ht="12.75">
      <c r="D52" s="418"/>
      <c r="E52" s="530"/>
    </row>
    <row r="53" spans="2:15">
      <c r="D53" s="418"/>
    </row>
    <row r="54" spans="2:15">
      <c r="D54" s="419"/>
    </row>
    <row r="55" spans="2:15" s="261" customFormat="1">
      <c r="B55" s="260"/>
      <c r="C55" s="260"/>
      <c r="D55" s="419"/>
      <c r="E55" s="318"/>
      <c r="F55" s="499"/>
    </row>
    <row r="56" spans="2:15" s="261" customFormat="1">
      <c r="B56" s="260"/>
      <c r="C56" s="260"/>
      <c r="D56" s="420"/>
      <c r="E56" s="318"/>
      <c r="F56" s="499"/>
    </row>
    <row r="57" spans="2:15" s="261" customFormat="1">
      <c r="B57" s="260"/>
      <c r="C57" s="260"/>
      <c r="D57" s="419"/>
      <c r="E57" s="318"/>
      <c r="F57" s="499"/>
    </row>
    <row r="58" spans="2:15" s="261" customFormat="1">
      <c r="B58" s="260"/>
      <c r="C58" s="260"/>
      <c r="D58" s="415"/>
      <c r="E58" s="318"/>
      <c r="F58" s="499"/>
    </row>
    <row r="59" spans="2:15" s="261" customFormat="1">
      <c r="B59" s="260"/>
      <c r="C59" s="260"/>
      <c r="D59" s="419"/>
      <c r="E59" s="318"/>
      <c r="F59" s="499"/>
    </row>
    <row r="60" spans="2:15" s="261" customFormat="1">
      <c r="B60" s="260"/>
      <c r="C60" s="260"/>
      <c r="D60" s="420"/>
      <c r="E60" s="318"/>
      <c r="F60" s="499"/>
    </row>
    <row r="61" spans="2:15" s="261" customFormat="1">
      <c r="B61" s="260"/>
      <c r="C61" s="260"/>
      <c r="D61" s="420"/>
      <c r="E61" s="318"/>
      <c r="F61" s="499"/>
    </row>
    <row r="62" spans="2:15" s="261" customFormat="1">
      <c r="B62" s="260"/>
      <c r="C62" s="260"/>
      <c r="D62" s="420"/>
      <c r="E62" s="318"/>
      <c r="F62" s="499"/>
    </row>
    <row r="63" spans="2:15" s="261" customFormat="1">
      <c r="B63" s="260"/>
      <c r="C63" s="260"/>
      <c r="D63" s="420"/>
      <c r="E63" s="318"/>
      <c r="F63" s="499"/>
    </row>
    <row r="64" spans="2:15" s="261" customFormat="1">
      <c r="B64" s="260"/>
      <c r="C64" s="260"/>
      <c r="D64" s="420"/>
      <c r="E64" s="318"/>
      <c r="F64" s="499"/>
    </row>
    <row r="65" spans="2:6" s="261" customFormat="1">
      <c r="B65" s="260"/>
      <c r="C65" s="260"/>
      <c r="D65" s="420"/>
      <c r="E65" s="318"/>
      <c r="F65" s="499"/>
    </row>
  </sheetData>
  <mergeCells count="2">
    <mergeCell ref="B2:E2"/>
    <mergeCell ref="B3:E3"/>
  </mergeCells>
  <pageMargins left="0.12" right="0.23622047244094491" top="0.59055118110236227" bottom="0.74" header="0" footer="0"/>
  <pageSetup fitToHeight="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PRESUPUESTO 2011</vt:lpstr>
      <vt:lpstr>listado empleados</vt:lpstr>
      <vt:lpstr>PRESUPUESTO 2010</vt:lpstr>
      <vt:lpstr>estado actividades (2)</vt:lpstr>
      <vt:lpstr>RESUMEN</vt:lpstr>
      <vt:lpstr>PRESUPUESTO 2013</vt:lpstr>
      <vt:lpstr>Julio</vt:lpstr>
      <vt:lpstr>'estado actividades (2)'!Área_de_impresión</vt:lpstr>
      <vt:lpstr>Julio!Área_de_impresión</vt:lpstr>
      <vt:lpstr>'listado empleados'!Área_de_impresión</vt:lpstr>
      <vt:lpstr>'PRESUPUESTO 2010'!Área_de_impresión</vt:lpstr>
      <vt:lpstr>'PRESUPUESTO 2011'!Área_de_impresión</vt:lpstr>
      <vt:lpstr>'PRESUPUESTO 2013'!Área_de_impresión</vt:lpstr>
      <vt:lpstr>RESUMEN!Área_de_impresión</vt:lpstr>
      <vt:lpstr>'listado empleados'!Consulta_desde_VisionDatc</vt:lpstr>
      <vt:lpstr>'estado actividades (2)'!Títulos_a_imprimir</vt:lpstr>
      <vt:lpstr>Julio!Títulos_a_imprimir</vt:lpstr>
      <vt:lpstr>'PRESUPUESTO 2010'!Títulos_a_imprimir</vt:lpstr>
      <vt:lpstr>'PRESUPUESTO 2011'!Títulos_a_imprimir</vt:lpstr>
      <vt:lpstr>'PRESUPUESTO 2013'!Títulos_a_imprimir</vt:lpstr>
      <vt:lpstr>RESUMEN!Títulos_a_imprimir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LiliaSanchez</dc:creator>
  <cp:lastModifiedBy>casa</cp:lastModifiedBy>
  <cp:lastPrinted>2015-06-17T17:02:32Z</cp:lastPrinted>
  <dcterms:created xsi:type="dcterms:W3CDTF">2007-03-15T19:08:48Z</dcterms:created>
  <dcterms:modified xsi:type="dcterms:W3CDTF">2015-08-18T14:38:48Z</dcterms:modified>
</cp:coreProperties>
</file>