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05" activeTab="2"/>
  </bookViews>
  <sheets>
    <sheet name="CONCENTRADO MENSUAL ENERO" sheetId="7" r:id="rId1"/>
    <sheet name="CONCENTRADO MENSUAL FEBRERO" sheetId="22" r:id="rId2"/>
    <sheet name="CONCENTRADO MENSUAL MARZO" sheetId="23" r:id="rId3"/>
    <sheet name="EB1" sheetId="8" r:id="rId4"/>
    <sheet name="EE1" sheetId="10" r:id="rId5"/>
    <sheet name="EB2" sheetId="11" r:id="rId6"/>
    <sheet name="EE2" sheetId="12" r:id="rId7"/>
    <sheet name="FB1" sheetId="14" r:id="rId8"/>
    <sheet name="FE1" sheetId="15" r:id="rId9"/>
    <sheet name="FB2" sheetId="16" r:id="rId10"/>
    <sheet name="FE2" sheetId="17" r:id="rId11"/>
    <sheet name="MB1" sheetId="18" r:id="rId12"/>
    <sheet name="ME1" sheetId="19" r:id="rId13"/>
    <sheet name="MB2" sheetId="20" r:id="rId14"/>
    <sheet name="ME2" sheetId="2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'CONCENTRADO MENSUAL ENERO'!$A$7:$M$102</definedName>
  </definedNames>
  <calcPr calcId="144525"/>
</workbook>
</file>

<file path=xl/calcChain.xml><?xml version="1.0" encoding="utf-8"?>
<calcChain xmlns="http://schemas.openxmlformats.org/spreadsheetml/2006/main">
  <c r="J41" i="23" l="1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4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1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H60" i="23" s="1"/>
  <c r="G61" i="23"/>
  <c r="G62" i="23"/>
  <c r="G63" i="23"/>
  <c r="G64" i="23"/>
  <c r="H64" i="23" s="1"/>
  <c r="G65" i="23"/>
  <c r="G66" i="23"/>
  <c r="G67" i="23"/>
  <c r="G68" i="23"/>
  <c r="G69" i="23"/>
  <c r="G70" i="23"/>
  <c r="G71" i="23"/>
  <c r="G72" i="23"/>
  <c r="H72" i="23" s="1"/>
  <c r="G73" i="23"/>
  <c r="G74" i="23"/>
  <c r="G75" i="23"/>
  <c r="G76" i="23"/>
  <c r="G77" i="23"/>
  <c r="G78" i="23"/>
  <c r="G79" i="23"/>
  <c r="G80" i="23"/>
  <c r="H80" i="23" s="1"/>
  <c r="G81" i="23"/>
  <c r="G82" i="23"/>
  <c r="G83" i="23"/>
  <c r="G84" i="23"/>
  <c r="G85" i="23"/>
  <c r="G86" i="23"/>
  <c r="G87" i="23"/>
  <c r="G88" i="23"/>
  <c r="H88" i="23" s="1"/>
  <c r="G89" i="23"/>
  <c r="G90" i="23"/>
  <c r="G91" i="23"/>
  <c r="G92" i="23"/>
  <c r="G93" i="23"/>
  <c r="G94" i="23"/>
  <c r="G95" i="23"/>
  <c r="G96" i="23"/>
  <c r="H96" i="23" s="1"/>
  <c r="G97" i="23"/>
  <c r="G98" i="23"/>
  <c r="G99" i="23"/>
  <c r="G100" i="23"/>
  <c r="G101" i="23"/>
  <c r="G102" i="23"/>
  <c r="G40" i="23"/>
  <c r="F56" i="23"/>
  <c r="F57" i="23"/>
  <c r="F58" i="23"/>
  <c r="F59" i="23"/>
  <c r="H59" i="23" s="1"/>
  <c r="I59" i="23" s="1"/>
  <c r="K59" i="23" s="1"/>
  <c r="F60" i="23"/>
  <c r="F61" i="23"/>
  <c r="F62" i="23"/>
  <c r="F63" i="23"/>
  <c r="H63" i="23" s="1"/>
  <c r="I63" i="23" s="1"/>
  <c r="K63" i="23" s="1"/>
  <c r="F64" i="23"/>
  <c r="F65" i="23"/>
  <c r="H65" i="23" s="1"/>
  <c r="I65" i="23" s="1"/>
  <c r="K65" i="23" s="1"/>
  <c r="F66" i="23"/>
  <c r="F67" i="23"/>
  <c r="H67" i="23" s="1"/>
  <c r="I67" i="23" s="1"/>
  <c r="K67" i="23" s="1"/>
  <c r="F68" i="23"/>
  <c r="F69" i="23"/>
  <c r="H69" i="23" s="1"/>
  <c r="I69" i="23" s="1"/>
  <c r="K69" i="23" s="1"/>
  <c r="F70" i="23"/>
  <c r="F71" i="23"/>
  <c r="H71" i="23" s="1"/>
  <c r="I71" i="23" s="1"/>
  <c r="K71" i="23" s="1"/>
  <c r="F72" i="23"/>
  <c r="F73" i="23"/>
  <c r="H73" i="23" s="1"/>
  <c r="I73" i="23" s="1"/>
  <c r="K73" i="23" s="1"/>
  <c r="F74" i="23"/>
  <c r="F75" i="23"/>
  <c r="H75" i="23" s="1"/>
  <c r="I75" i="23" s="1"/>
  <c r="K75" i="23" s="1"/>
  <c r="F76" i="23"/>
  <c r="F77" i="23"/>
  <c r="H77" i="23" s="1"/>
  <c r="I77" i="23" s="1"/>
  <c r="K77" i="23" s="1"/>
  <c r="F78" i="23"/>
  <c r="F79" i="23"/>
  <c r="H79" i="23" s="1"/>
  <c r="I79" i="23" s="1"/>
  <c r="K79" i="23" s="1"/>
  <c r="F80" i="23"/>
  <c r="F81" i="23"/>
  <c r="H81" i="23" s="1"/>
  <c r="I81" i="23" s="1"/>
  <c r="K81" i="23" s="1"/>
  <c r="F82" i="23"/>
  <c r="F83" i="23"/>
  <c r="H83" i="23" s="1"/>
  <c r="I83" i="23" s="1"/>
  <c r="K83" i="23" s="1"/>
  <c r="F84" i="23"/>
  <c r="F85" i="23"/>
  <c r="H85" i="23" s="1"/>
  <c r="I85" i="23" s="1"/>
  <c r="K85" i="23" s="1"/>
  <c r="F86" i="23"/>
  <c r="F87" i="23"/>
  <c r="H87" i="23" s="1"/>
  <c r="I87" i="23" s="1"/>
  <c r="K87" i="23" s="1"/>
  <c r="F88" i="23"/>
  <c r="F89" i="23"/>
  <c r="H89" i="23" s="1"/>
  <c r="I89" i="23" s="1"/>
  <c r="K89" i="23" s="1"/>
  <c r="F90" i="23"/>
  <c r="F91" i="23"/>
  <c r="H91" i="23" s="1"/>
  <c r="I91" i="23" s="1"/>
  <c r="K91" i="23" s="1"/>
  <c r="F92" i="23"/>
  <c r="F93" i="23"/>
  <c r="H93" i="23" s="1"/>
  <c r="I93" i="23" s="1"/>
  <c r="K93" i="23" s="1"/>
  <c r="F94" i="23"/>
  <c r="F95" i="23"/>
  <c r="H95" i="23" s="1"/>
  <c r="I95" i="23" s="1"/>
  <c r="K95" i="23" s="1"/>
  <c r="F96" i="23"/>
  <c r="F97" i="23"/>
  <c r="H97" i="23" s="1"/>
  <c r="I97" i="23" s="1"/>
  <c r="K97" i="23" s="1"/>
  <c r="F98" i="23"/>
  <c r="F99" i="23"/>
  <c r="H99" i="23" s="1"/>
  <c r="I99" i="23" s="1"/>
  <c r="K99" i="23" s="1"/>
  <c r="F100" i="23"/>
  <c r="F101" i="23"/>
  <c r="H101" i="23" s="1"/>
  <c r="I101" i="23" s="1"/>
  <c r="K101" i="23" s="1"/>
  <c r="F102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4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10" i="23"/>
  <c r="E33" i="23"/>
  <c r="E34" i="23"/>
  <c r="E35" i="23"/>
  <c r="E36" i="23"/>
  <c r="E37" i="23"/>
  <c r="E38" i="23"/>
  <c r="E39" i="23"/>
  <c r="J55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40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11" i="22"/>
  <c r="J12" i="22"/>
  <c r="J13" i="22"/>
  <c r="J10" i="22"/>
  <c r="G41" i="22"/>
  <c r="G42" i="22"/>
  <c r="G43" i="22"/>
  <c r="H43" i="22" s="1"/>
  <c r="I43" i="22" s="1"/>
  <c r="K43" i="22" s="1"/>
  <c r="G44" i="22"/>
  <c r="G45" i="22"/>
  <c r="G46" i="22"/>
  <c r="G47" i="22"/>
  <c r="G48" i="22"/>
  <c r="H48" i="22" s="1"/>
  <c r="I48" i="22" s="1"/>
  <c r="G49" i="22"/>
  <c r="G50" i="22"/>
  <c r="G51" i="22"/>
  <c r="G52" i="22"/>
  <c r="H52" i="22" s="1"/>
  <c r="I52" i="22" s="1"/>
  <c r="G53" i="22"/>
  <c r="G54" i="22"/>
  <c r="G55" i="22"/>
  <c r="H55" i="22" s="1"/>
  <c r="G56" i="22"/>
  <c r="G57" i="22"/>
  <c r="G58" i="22"/>
  <c r="G59" i="22"/>
  <c r="G60" i="22"/>
  <c r="G61" i="22"/>
  <c r="G62" i="22"/>
  <c r="G63" i="22"/>
  <c r="G64" i="22"/>
  <c r="H64" i="22" s="1"/>
  <c r="I64" i="22" s="1"/>
  <c r="G65" i="22"/>
  <c r="G66" i="22"/>
  <c r="G67" i="22"/>
  <c r="G68" i="22"/>
  <c r="H68" i="22" s="1"/>
  <c r="I68" i="22" s="1"/>
  <c r="G69" i="22"/>
  <c r="G70" i="22"/>
  <c r="G71" i="22"/>
  <c r="H71" i="22" s="1"/>
  <c r="G72" i="22"/>
  <c r="G73" i="22"/>
  <c r="G74" i="22"/>
  <c r="G75" i="22"/>
  <c r="G76" i="22"/>
  <c r="G77" i="22"/>
  <c r="G78" i="22"/>
  <c r="G79" i="22"/>
  <c r="G80" i="22"/>
  <c r="H80" i="22" s="1"/>
  <c r="I80" i="22" s="1"/>
  <c r="G81" i="22"/>
  <c r="G82" i="22"/>
  <c r="G83" i="22"/>
  <c r="G84" i="22"/>
  <c r="H84" i="22" s="1"/>
  <c r="I84" i="22" s="1"/>
  <c r="G85" i="22"/>
  <c r="G86" i="22"/>
  <c r="G87" i="22"/>
  <c r="H87" i="22" s="1"/>
  <c r="G88" i="22"/>
  <c r="G89" i="22"/>
  <c r="G90" i="22"/>
  <c r="G91" i="22"/>
  <c r="G92" i="22"/>
  <c r="G93" i="22"/>
  <c r="G94" i="22"/>
  <c r="G95" i="22"/>
  <c r="G96" i="22"/>
  <c r="H96" i="22" s="1"/>
  <c r="I96" i="22" s="1"/>
  <c r="G97" i="22"/>
  <c r="G98" i="22"/>
  <c r="G99" i="22"/>
  <c r="G100" i="22"/>
  <c r="H100" i="22" s="1"/>
  <c r="I100" i="22" s="1"/>
  <c r="G101" i="22"/>
  <c r="G102" i="22"/>
  <c r="G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4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41" i="22"/>
  <c r="E42" i="22"/>
  <c r="E43" i="22"/>
  <c r="E44" i="22"/>
  <c r="E45" i="22"/>
  <c r="E46" i="22"/>
  <c r="E47" i="22"/>
  <c r="E48" i="22"/>
  <c r="E49" i="22"/>
  <c r="E50" i="22"/>
  <c r="E40" i="22"/>
  <c r="G33" i="22"/>
  <c r="G34" i="22"/>
  <c r="G35" i="22"/>
  <c r="G36" i="22"/>
  <c r="G37" i="22"/>
  <c r="G38" i="22"/>
  <c r="G39" i="22"/>
  <c r="F33" i="22"/>
  <c r="F34" i="22"/>
  <c r="F35" i="22"/>
  <c r="F36" i="22"/>
  <c r="F37" i="22"/>
  <c r="F38" i="22"/>
  <c r="F39" i="22"/>
  <c r="E33" i="22"/>
  <c r="E34" i="22"/>
  <c r="E35" i="22"/>
  <c r="E36" i="22"/>
  <c r="E37" i="22"/>
  <c r="E38" i="22"/>
  <c r="E39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10" i="22"/>
  <c r="F13" i="22"/>
  <c r="F14" i="22"/>
  <c r="H14" i="22" s="1"/>
  <c r="F15" i="22"/>
  <c r="F16" i="22"/>
  <c r="H16" i="22" s="1"/>
  <c r="F17" i="22"/>
  <c r="F18" i="22"/>
  <c r="F19" i="22"/>
  <c r="F20" i="22"/>
  <c r="F21" i="22"/>
  <c r="F22" i="22"/>
  <c r="H22" i="22" s="1"/>
  <c r="F23" i="22"/>
  <c r="F24" i="22"/>
  <c r="H24" i="22" s="1"/>
  <c r="F25" i="22"/>
  <c r="F26" i="22"/>
  <c r="F27" i="22"/>
  <c r="F28" i="22"/>
  <c r="H28" i="22" s="1"/>
  <c r="F29" i="22"/>
  <c r="F30" i="22"/>
  <c r="F31" i="22"/>
  <c r="F32" i="22"/>
  <c r="H32" i="22" s="1"/>
  <c r="H37" i="22"/>
  <c r="H39" i="22"/>
  <c r="F11" i="22"/>
  <c r="F12" i="22"/>
  <c r="H12" i="22" s="1"/>
  <c r="F10" i="22"/>
  <c r="H10" i="22" s="1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4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10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41" i="7"/>
  <c r="G40" i="7"/>
  <c r="G39" i="7"/>
  <c r="G29" i="7"/>
  <c r="G30" i="7"/>
  <c r="G31" i="7"/>
  <c r="G32" i="7"/>
  <c r="G33" i="7"/>
  <c r="G34" i="7"/>
  <c r="G35" i="7"/>
  <c r="G36" i="7"/>
  <c r="G37" i="7"/>
  <c r="G38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1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4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1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4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10" i="7"/>
  <c r="H102" i="23"/>
  <c r="H100" i="23"/>
  <c r="H98" i="23"/>
  <c r="H94" i="23"/>
  <c r="H92" i="23"/>
  <c r="H90" i="23"/>
  <c r="H86" i="23"/>
  <c r="H84" i="23"/>
  <c r="H82" i="23"/>
  <c r="H78" i="23"/>
  <c r="H76" i="23"/>
  <c r="H74" i="23"/>
  <c r="H70" i="23"/>
  <c r="H68" i="23"/>
  <c r="H66" i="23"/>
  <c r="H62" i="23"/>
  <c r="H61" i="23"/>
  <c r="I61" i="23" s="1"/>
  <c r="K61" i="23" s="1"/>
  <c r="H58" i="23"/>
  <c r="H57" i="23"/>
  <c r="I57" i="23" s="1"/>
  <c r="K57" i="23" s="1"/>
  <c r="H56" i="23"/>
  <c r="H55" i="23"/>
  <c r="I55" i="23" s="1"/>
  <c r="H54" i="23"/>
  <c r="H53" i="23"/>
  <c r="I53" i="23" s="1"/>
  <c r="K53" i="23" s="1"/>
  <c r="H51" i="23"/>
  <c r="I51" i="23" s="1"/>
  <c r="K51" i="23" s="1"/>
  <c r="H50" i="23"/>
  <c r="H49" i="23"/>
  <c r="I49" i="23" s="1"/>
  <c r="K49" i="23" s="1"/>
  <c r="H47" i="23"/>
  <c r="I47" i="23" s="1"/>
  <c r="K47" i="23" s="1"/>
  <c r="H46" i="23"/>
  <c r="H45" i="23"/>
  <c r="I45" i="23" s="1"/>
  <c r="K45" i="23" s="1"/>
  <c r="H43" i="23"/>
  <c r="I43" i="23" s="1"/>
  <c r="H42" i="23"/>
  <c r="H41" i="23"/>
  <c r="I41" i="23" s="1"/>
  <c r="K41" i="23" s="1"/>
  <c r="H40" i="23"/>
  <c r="H102" i="22"/>
  <c r="H101" i="22"/>
  <c r="I101" i="22" s="1"/>
  <c r="K101" i="22" s="1"/>
  <c r="H99" i="22"/>
  <c r="H98" i="22"/>
  <c r="I98" i="22" s="1"/>
  <c r="K98" i="22" s="1"/>
  <c r="H97" i="22"/>
  <c r="H95" i="22"/>
  <c r="H94" i="22"/>
  <c r="I94" i="22" s="1"/>
  <c r="K94" i="22" s="1"/>
  <c r="H93" i="22"/>
  <c r="H92" i="22"/>
  <c r="I92" i="22" s="1"/>
  <c r="H91" i="22"/>
  <c r="H90" i="22"/>
  <c r="I90" i="22" s="1"/>
  <c r="K90" i="22" s="1"/>
  <c r="H89" i="22"/>
  <c r="H88" i="22"/>
  <c r="I88" i="22" s="1"/>
  <c r="H86" i="22"/>
  <c r="I86" i="22"/>
  <c r="K86" i="22" s="1"/>
  <c r="H85" i="22"/>
  <c r="H83" i="22"/>
  <c r="H82" i="22"/>
  <c r="I82" i="22" s="1"/>
  <c r="K82" i="22" s="1"/>
  <c r="H81" i="22"/>
  <c r="H79" i="22"/>
  <c r="H78" i="22"/>
  <c r="I78" i="22" s="1"/>
  <c r="K78" i="22" s="1"/>
  <c r="H77" i="22"/>
  <c r="H76" i="22"/>
  <c r="I76" i="22" s="1"/>
  <c r="H75" i="22"/>
  <c r="H74" i="22"/>
  <c r="I74" i="22" s="1"/>
  <c r="K74" i="22" s="1"/>
  <c r="H73" i="22"/>
  <c r="H72" i="22"/>
  <c r="I72" i="22" s="1"/>
  <c r="H70" i="22"/>
  <c r="I70" i="22"/>
  <c r="K70" i="22" s="1"/>
  <c r="H69" i="22"/>
  <c r="H67" i="22"/>
  <c r="H66" i="22"/>
  <c r="I66" i="22" s="1"/>
  <c r="K66" i="22" s="1"/>
  <c r="H65" i="22"/>
  <c r="H63" i="22"/>
  <c r="H62" i="22"/>
  <c r="I62" i="22" s="1"/>
  <c r="K62" i="22" s="1"/>
  <c r="H61" i="22"/>
  <c r="H60" i="22"/>
  <c r="I60" i="22" s="1"/>
  <c r="K60" i="22" s="1"/>
  <c r="H59" i="22"/>
  <c r="H58" i="22"/>
  <c r="I58" i="22" s="1"/>
  <c r="K58" i="22" s="1"/>
  <c r="H57" i="22"/>
  <c r="H56" i="22"/>
  <c r="I56" i="22" s="1"/>
  <c r="K56" i="22" s="1"/>
  <c r="H54" i="22"/>
  <c r="I54" i="22"/>
  <c r="K54" i="22" s="1"/>
  <c r="H53" i="22"/>
  <c r="H51" i="22"/>
  <c r="H50" i="22"/>
  <c r="I50" i="22" s="1"/>
  <c r="K50" i="22" s="1"/>
  <c r="H49" i="22"/>
  <c r="H47" i="22"/>
  <c r="H46" i="22"/>
  <c r="I46" i="22" s="1"/>
  <c r="K46" i="22" s="1"/>
  <c r="H45" i="22"/>
  <c r="I45" i="22"/>
  <c r="K45" i="22" s="1"/>
  <c r="H44" i="22"/>
  <c r="H42" i="22"/>
  <c r="H41" i="22"/>
  <c r="I41" i="22" s="1"/>
  <c r="K41" i="22" s="1"/>
  <c r="H40" i="22"/>
  <c r="I40" i="22" s="1"/>
  <c r="K40" i="22" s="1"/>
  <c r="H15" i="22"/>
  <c r="H11" i="22"/>
  <c r="K43" i="23" l="1"/>
  <c r="K55" i="23"/>
  <c r="H48" i="23"/>
  <c r="H44" i="23"/>
  <c r="H52" i="23"/>
  <c r="H10" i="23"/>
  <c r="H12" i="23"/>
  <c r="H14" i="23"/>
  <c r="H16" i="23"/>
  <c r="H18" i="23"/>
  <c r="K72" i="22"/>
  <c r="K76" i="22"/>
  <c r="K88" i="22"/>
  <c r="K92" i="22"/>
  <c r="K100" i="22"/>
  <c r="K96" i="22"/>
  <c r="K84" i="22"/>
  <c r="K80" i="22"/>
  <c r="K68" i="22"/>
  <c r="K64" i="22"/>
  <c r="K52" i="22"/>
  <c r="K48" i="22"/>
  <c r="H36" i="22"/>
  <c r="I37" i="22"/>
  <c r="K37" i="22" s="1"/>
  <c r="H21" i="23"/>
  <c r="H29" i="23"/>
  <c r="H31" i="23"/>
  <c r="H11" i="23"/>
  <c r="H13" i="23"/>
  <c r="H15" i="23"/>
  <c r="H17" i="23"/>
  <c r="H20" i="23"/>
  <c r="H30" i="23"/>
  <c r="H23" i="23"/>
  <c r="H22" i="23"/>
  <c r="H28" i="23"/>
  <c r="H38" i="22"/>
  <c r="I38" i="22" s="1"/>
  <c r="K38" i="22" s="1"/>
  <c r="H34" i="22"/>
  <c r="I34" i="22" s="1"/>
  <c r="K34" i="22" s="1"/>
  <c r="H30" i="22"/>
  <c r="H26" i="22"/>
  <c r="H18" i="22"/>
  <c r="H24" i="23"/>
  <c r="H27" i="23"/>
  <c r="H33" i="23"/>
  <c r="H37" i="23"/>
  <c r="H17" i="22"/>
  <c r="H13" i="22"/>
  <c r="H19" i="23"/>
  <c r="H25" i="23"/>
  <c r="H26" i="23"/>
  <c r="H32" i="23"/>
  <c r="H34" i="23"/>
  <c r="H35" i="23"/>
  <c r="H36" i="23"/>
  <c r="H38" i="23"/>
  <c r="H39" i="23"/>
  <c r="I36" i="22"/>
  <c r="K36" i="22" s="1"/>
  <c r="H20" i="22"/>
  <c r="I39" i="22"/>
  <c r="K39" i="22" s="1"/>
  <c r="I54" i="23"/>
  <c r="K54" i="23" s="1"/>
  <c r="I62" i="23"/>
  <c r="K62" i="23" s="1"/>
  <c r="I86" i="23"/>
  <c r="K86" i="23" s="1"/>
  <c r="I102" i="23"/>
  <c r="K102" i="23" s="1"/>
  <c r="I40" i="23"/>
  <c r="K40" i="23" s="1"/>
  <c r="I56" i="23"/>
  <c r="K56" i="23" s="1"/>
  <c r="I64" i="23"/>
  <c r="K64" i="23" s="1"/>
  <c r="I72" i="23"/>
  <c r="K72" i="23" s="1"/>
  <c r="I80" i="23"/>
  <c r="K80" i="23" s="1"/>
  <c r="I42" i="23"/>
  <c r="K42" i="23" s="1"/>
  <c r="I50" i="23"/>
  <c r="K50" i="23" s="1"/>
  <c r="I58" i="23"/>
  <c r="K58" i="23" s="1"/>
  <c r="I66" i="23"/>
  <c r="K66" i="23" s="1"/>
  <c r="I74" i="23"/>
  <c r="K74" i="23" s="1"/>
  <c r="I82" i="23"/>
  <c r="K82" i="23" s="1"/>
  <c r="I90" i="23"/>
  <c r="K90" i="23" s="1"/>
  <c r="I98" i="23"/>
  <c r="K98" i="23" s="1"/>
  <c r="I46" i="23"/>
  <c r="K46" i="23" s="1"/>
  <c r="I70" i="23"/>
  <c r="K70" i="23" s="1"/>
  <c r="I78" i="23"/>
  <c r="K78" i="23" s="1"/>
  <c r="I94" i="23"/>
  <c r="K94" i="23" s="1"/>
  <c r="I48" i="23"/>
  <c r="K48" i="23" s="1"/>
  <c r="I88" i="23"/>
  <c r="K88" i="23" s="1"/>
  <c r="I96" i="23"/>
  <c r="K96" i="23" s="1"/>
  <c r="I44" i="23"/>
  <c r="K44" i="23" s="1"/>
  <c r="I52" i="23"/>
  <c r="K52" i="23" s="1"/>
  <c r="I60" i="23"/>
  <c r="K60" i="23" s="1"/>
  <c r="I68" i="23"/>
  <c r="K68" i="23" s="1"/>
  <c r="I76" i="23"/>
  <c r="K76" i="23" s="1"/>
  <c r="I84" i="23"/>
  <c r="K84" i="23" s="1"/>
  <c r="I92" i="23"/>
  <c r="K92" i="23" s="1"/>
  <c r="I100" i="23"/>
  <c r="K100" i="23" s="1"/>
  <c r="H19" i="22"/>
  <c r="H23" i="22"/>
  <c r="H27" i="22"/>
  <c r="H31" i="22"/>
  <c r="H35" i="22"/>
  <c r="I35" i="22" s="1"/>
  <c r="K35" i="22" s="1"/>
  <c r="I42" i="22"/>
  <c r="K42" i="22" s="1"/>
  <c r="I44" i="22"/>
  <c r="K44" i="22" s="1"/>
  <c r="I102" i="22"/>
  <c r="K102" i="22" s="1"/>
  <c r="H21" i="22"/>
  <c r="H25" i="22"/>
  <c r="H29" i="22"/>
  <c r="H33" i="22"/>
  <c r="I33" i="22" s="1"/>
  <c r="K33" i="22" s="1"/>
  <c r="I47" i="22"/>
  <c r="K47" i="22" s="1"/>
  <c r="I49" i="22"/>
  <c r="K49" i="22" s="1"/>
  <c r="I51" i="22"/>
  <c r="K51" i="22" s="1"/>
  <c r="I53" i="22"/>
  <c r="K53" i="22" s="1"/>
  <c r="I55" i="22"/>
  <c r="K55" i="22" s="1"/>
  <c r="I57" i="22"/>
  <c r="K57" i="22" s="1"/>
  <c r="I59" i="22"/>
  <c r="K59" i="22" s="1"/>
  <c r="I61" i="22"/>
  <c r="K61" i="22" s="1"/>
  <c r="I63" i="22"/>
  <c r="K63" i="22" s="1"/>
  <c r="I65" i="22"/>
  <c r="K65" i="22" s="1"/>
  <c r="I67" i="22"/>
  <c r="K67" i="22" s="1"/>
  <c r="I69" i="22"/>
  <c r="K69" i="22" s="1"/>
  <c r="I71" i="22"/>
  <c r="K71" i="22" s="1"/>
  <c r="I73" i="22"/>
  <c r="K73" i="22" s="1"/>
  <c r="I75" i="22"/>
  <c r="K75" i="22" s="1"/>
  <c r="I77" i="22"/>
  <c r="K77" i="22" s="1"/>
  <c r="I79" i="22"/>
  <c r="K79" i="22" s="1"/>
  <c r="I81" i="22"/>
  <c r="K81" i="22" s="1"/>
  <c r="I83" i="22"/>
  <c r="K83" i="22" s="1"/>
  <c r="I85" i="22"/>
  <c r="K85" i="22" s="1"/>
  <c r="I87" i="22"/>
  <c r="K87" i="22" s="1"/>
  <c r="I89" i="22"/>
  <c r="K89" i="22" s="1"/>
  <c r="I91" i="22"/>
  <c r="K91" i="22" s="1"/>
  <c r="I93" i="22"/>
  <c r="K93" i="22" s="1"/>
  <c r="I95" i="22"/>
  <c r="K95" i="22" s="1"/>
  <c r="I97" i="22"/>
  <c r="K97" i="22" s="1"/>
  <c r="I99" i="22"/>
  <c r="K99" i="22" s="1"/>
  <c r="H11" i="7"/>
  <c r="I11" i="7" s="1"/>
  <c r="K11" i="7" s="1"/>
  <c r="H12" i="7"/>
  <c r="I12" i="7" s="1"/>
  <c r="K12" i="7" s="1"/>
  <c r="H13" i="7"/>
  <c r="I13" i="7" s="1"/>
  <c r="K13" i="7" s="1"/>
  <c r="H14" i="7"/>
  <c r="I14" i="7" s="1"/>
  <c r="K14" i="7" s="1"/>
  <c r="H15" i="7"/>
  <c r="I15" i="7" s="1"/>
  <c r="K15" i="7" s="1"/>
  <c r="H16" i="7"/>
  <c r="I16" i="7" s="1"/>
  <c r="K16" i="7" s="1"/>
  <c r="H17" i="7"/>
  <c r="I17" i="7" s="1"/>
  <c r="K17" i="7" s="1"/>
  <c r="H18" i="7"/>
  <c r="I18" i="7" s="1"/>
  <c r="K18" i="7" s="1"/>
  <c r="H19" i="7"/>
  <c r="I19" i="7" s="1"/>
  <c r="K19" i="7" s="1"/>
  <c r="H20" i="7"/>
  <c r="I20" i="7" s="1"/>
  <c r="K20" i="7" s="1"/>
  <c r="H21" i="7"/>
  <c r="I21" i="7" s="1"/>
  <c r="K21" i="7" s="1"/>
  <c r="H22" i="7"/>
  <c r="I22" i="7" s="1"/>
  <c r="K22" i="7" s="1"/>
  <c r="H23" i="7"/>
  <c r="I23" i="7" s="1"/>
  <c r="K23" i="7" s="1"/>
  <c r="H24" i="7"/>
  <c r="I24" i="7" s="1"/>
  <c r="K24" i="7" s="1"/>
  <c r="H25" i="7"/>
  <c r="I25" i="7" s="1"/>
  <c r="K25" i="7" s="1"/>
  <c r="H26" i="7"/>
  <c r="I26" i="7" s="1"/>
  <c r="K26" i="7" s="1"/>
  <c r="H27" i="7"/>
  <c r="I27" i="7" s="1"/>
  <c r="K27" i="7" s="1"/>
  <c r="H28" i="7"/>
  <c r="I28" i="7" s="1"/>
  <c r="K28" i="7" s="1"/>
  <c r="H29" i="7"/>
  <c r="I29" i="7" s="1"/>
  <c r="K29" i="7" s="1"/>
  <c r="H30" i="7"/>
  <c r="I30" i="7" s="1"/>
  <c r="K30" i="7" s="1"/>
  <c r="H31" i="7"/>
  <c r="I31" i="7" s="1"/>
  <c r="K31" i="7" s="1"/>
  <c r="H32" i="7"/>
  <c r="I32" i="7" s="1"/>
  <c r="K32" i="7" s="1"/>
  <c r="H33" i="7"/>
  <c r="I33" i="7" s="1"/>
  <c r="K33" i="7" s="1"/>
  <c r="H34" i="7"/>
  <c r="I34" i="7" s="1"/>
  <c r="K34" i="7" s="1"/>
  <c r="H35" i="7"/>
  <c r="I35" i="7" s="1"/>
  <c r="K35" i="7" s="1"/>
  <c r="H36" i="7"/>
  <c r="I36" i="7" s="1"/>
  <c r="K36" i="7" s="1"/>
  <c r="H37" i="7"/>
  <c r="I37" i="7" s="1"/>
  <c r="K37" i="7" s="1"/>
  <c r="H38" i="7"/>
  <c r="I38" i="7" s="1"/>
  <c r="K38" i="7" s="1"/>
  <c r="H39" i="7"/>
  <c r="I39" i="7" s="1"/>
  <c r="K39" i="7" s="1"/>
  <c r="H40" i="7"/>
  <c r="I40" i="7" s="1"/>
  <c r="K40" i="7" s="1"/>
  <c r="H41" i="7"/>
  <c r="I41" i="7" s="1"/>
  <c r="K41" i="7" s="1"/>
  <c r="H42" i="7"/>
  <c r="I42" i="7" s="1"/>
  <c r="K42" i="7" s="1"/>
  <c r="H43" i="7"/>
  <c r="I43" i="7" s="1"/>
  <c r="K43" i="7" s="1"/>
  <c r="H44" i="7"/>
  <c r="I44" i="7" s="1"/>
  <c r="K44" i="7" s="1"/>
  <c r="H45" i="7"/>
  <c r="I45" i="7" s="1"/>
  <c r="K45" i="7" s="1"/>
  <c r="H46" i="7"/>
  <c r="I46" i="7" s="1"/>
  <c r="K46" i="7" s="1"/>
  <c r="H47" i="7"/>
  <c r="I47" i="7" s="1"/>
  <c r="K47" i="7" s="1"/>
  <c r="H48" i="7"/>
  <c r="I48" i="7" s="1"/>
  <c r="K48" i="7" s="1"/>
  <c r="H49" i="7"/>
  <c r="I49" i="7" s="1"/>
  <c r="K49" i="7" s="1"/>
  <c r="H50" i="7"/>
  <c r="I50" i="7" s="1"/>
  <c r="K50" i="7" s="1"/>
  <c r="H51" i="7"/>
  <c r="I51" i="7" s="1"/>
  <c r="K51" i="7" s="1"/>
  <c r="H52" i="7"/>
  <c r="I52" i="7" s="1"/>
  <c r="K52" i="7" s="1"/>
  <c r="H53" i="7"/>
  <c r="I53" i="7" s="1"/>
  <c r="K53" i="7" s="1"/>
  <c r="H54" i="7"/>
  <c r="I54" i="7" s="1"/>
  <c r="K54" i="7" s="1"/>
  <c r="H55" i="7"/>
  <c r="I55" i="7" s="1"/>
  <c r="K55" i="7" s="1"/>
  <c r="H56" i="7"/>
  <c r="I56" i="7" s="1"/>
  <c r="K56" i="7" s="1"/>
  <c r="H57" i="7"/>
  <c r="I57" i="7" s="1"/>
  <c r="K57" i="7" s="1"/>
  <c r="H58" i="7"/>
  <c r="I58" i="7" s="1"/>
  <c r="K58" i="7" s="1"/>
  <c r="H59" i="7"/>
  <c r="I59" i="7" s="1"/>
  <c r="K59" i="7" s="1"/>
  <c r="H60" i="7"/>
  <c r="I60" i="7" s="1"/>
  <c r="K60" i="7" s="1"/>
  <c r="H61" i="7"/>
  <c r="I61" i="7" s="1"/>
  <c r="K61" i="7" s="1"/>
  <c r="H62" i="7"/>
  <c r="I62" i="7" s="1"/>
  <c r="K62" i="7" s="1"/>
  <c r="H63" i="7"/>
  <c r="I63" i="7" s="1"/>
  <c r="K63" i="7" s="1"/>
  <c r="H64" i="7"/>
  <c r="I64" i="7" s="1"/>
  <c r="K64" i="7" s="1"/>
  <c r="H65" i="7"/>
  <c r="I65" i="7" s="1"/>
  <c r="K65" i="7" s="1"/>
  <c r="H66" i="7"/>
  <c r="I66" i="7" s="1"/>
  <c r="K66" i="7" s="1"/>
  <c r="H67" i="7"/>
  <c r="I67" i="7" s="1"/>
  <c r="K67" i="7" s="1"/>
  <c r="H68" i="7"/>
  <c r="I68" i="7" s="1"/>
  <c r="K68" i="7" s="1"/>
  <c r="H69" i="7"/>
  <c r="I69" i="7" s="1"/>
  <c r="K69" i="7" s="1"/>
  <c r="H70" i="7"/>
  <c r="I70" i="7" s="1"/>
  <c r="K70" i="7" s="1"/>
  <c r="H71" i="7"/>
  <c r="I71" i="7" s="1"/>
  <c r="K71" i="7" s="1"/>
  <c r="H72" i="7"/>
  <c r="I72" i="7" s="1"/>
  <c r="K72" i="7" s="1"/>
  <c r="H73" i="7"/>
  <c r="I73" i="7" s="1"/>
  <c r="K73" i="7" s="1"/>
  <c r="H74" i="7"/>
  <c r="I74" i="7" s="1"/>
  <c r="K74" i="7" s="1"/>
  <c r="H75" i="7"/>
  <c r="I75" i="7" s="1"/>
  <c r="K75" i="7" s="1"/>
  <c r="H76" i="7"/>
  <c r="I76" i="7" s="1"/>
  <c r="K76" i="7" s="1"/>
  <c r="H77" i="7"/>
  <c r="I77" i="7" s="1"/>
  <c r="K77" i="7" s="1"/>
  <c r="H78" i="7"/>
  <c r="I78" i="7" s="1"/>
  <c r="K78" i="7" s="1"/>
  <c r="H79" i="7"/>
  <c r="I79" i="7" s="1"/>
  <c r="K79" i="7" s="1"/>
  <c r="H80" i="7"/>
  <c r="I80" i="7" s="1"/>
  <c r="K80" i="7" s="1"/>
  <c r="H81" i="7"/>
  <c r="I81" i="7" s="1"/>
  <c r="K81" i="7" s="1"/>
  <c r="H82" i="7"/>
  <c r="I82" i="7" s="1"/>
  <c r="K82" i="7" s="1"/>
  <c r="H83" i="7"/>
  <c r="I83" i="7" s="1"/>
  <c r="K83" i="7" s="1"/>
  <c r="H84" i="7"/>
  <c r="I84" i="7" s="1"/>
  <c r="K84" i="7" s="1"/>
  <c r="H85" i="7"/>
  <c r="I85" i="7" s="1"/>
  <c r="K85" i="7" s="1"/>
  <c r="H86" i="7"/>
  <c r="I86" i="7" s="1"/>
  <c r="K86" i="7" s="1"/>
  <c r="H87" i="7"/>
  <c r="I87" i="7" s="1"/>
  <c r="K87" i="7" s="1"/>
  <c r="H88" i="7"/>
  <c r="I88" i="7" s="1"/>
  <c r="K88" i="7" s="1"/>
  <c r="H89" i="7"/>
  <c r="I89" i="7" s="1"/>
  <c r="K89" i="7" s="1"/>
  <c r="H90" i="7"/>
  <c r="I90" i="7" s="1"/>
  <c r="K90" i="7" s="1"/>
  <c r="H91" i="7"/>
  <c r="I91" i="7" s="1"/>
  <c r="K91" i="7" s="1"/>
  <c r="H92" i="7"/>
  <c r="I92" i="7" s="1"/>
  <c r="K92" i="7" s="1"/>
  <c r="H93" i="7"/>
  <c r="I93" i="7" s="1"/>
  <c r="K93" i="7" s="1"/>
  <c r="H94" i="7"/>
  <c r="I94" i="7" s="1"/>
  <c r="K94" i="7" s="1"/>
  <c r="H95" i="7"/>
  <c r="I95" i="7" s="1"/>
  <c r="K95" i="7" s="1"/>
  <c r="H96" i="7"/>
  <c r="I96" i="7" s="1"/>
  <c r="K96" i="7" s="1"/>
  <c r="H97" i="7"/>
  <c r="I97" i="7" s="1"/>
  <c r="K97" i="7" s="1"/>
  <c r="H98" i="7"/>
  <c r="I98" i="7" s="1"/>
  <c r="K98" i="7" s="1"/>
  <c r="H99" i="7"/>
  <c r="I99" i="7" s="1"/>
  <c r="K99" i="7" s="1"/>
  <c r="H100" i="7"/>
  <c r="I100" i="7" s="1"/>
  <c r="K100" i="7" s="1"/>
  <c r="H101" i="7"/>
  <c r="I101" i="7" s="1"/>
  <c r="K101" i="7" s="1"/>
  <c r="H102" i="7"/>
  <c r="I102" i="7" s="1"/>
  <c r="K102" i="7" s="1"/>
  <c r="H10" i="7"/>
  <c r="I10" i="7" s="1"/>
  <c r="K10" i="7" s="1"/>
  <c r="V54" i="19" l="1"/>
  <c r="L54" i="19"/>
  <c r="K54" i="19"/>
  <c r="H54" i="19"/>
  <c r="V54" i="17"/>
  <c r="L54" i="17"/>
  <c r="H54" i="17"/>
  <c r="V54" i="15"/>
  <c r="L54" i="15"/>
  <c r="K54" i="15"/>
  <c r="I54" i="15"/>
  <c r="H54" i="15"/>
  <c r="V54" i="12"/>
  <c r="I54" i="12"/>
  <c r="H54" i="12"/>
  <c r="H89" i="17"/>
  <c r="O89" i="17" s="1"/>
  <c r="V89" i="17"/>
  <c r="O54" i="12" l="1"/>
  <c r="W54" i="12" s="1"/>
  <c r="O54" i="19"/>
  <c r="W54" i="19" s="1"/>
  <c r="O54" i="17"/>
  <c r="W54" i="17" s="1"/>
  <c r="O54" i="15"/>
  <c r="W54" i="15" s="1"/>
  <c r="W89" i="17"/>
  <c r="V93" i="21" l="1"/>
  <c r="H93" i="21"/>
  <c r="O93" i="21" s="1"/>
  <c r="V67" i="21"/>
  <c r="L67" i="21"/>
  <c r="J67" i="21"/>
  <c r="H67" i="21"/>
  <c r="V66" i="21"/>
  <c r="L66" i="21"/>
  <c r="H66" i="21"/>
  <c r="V65" i="21"/>
  <c r="L65" i="21"/>
  <c r="J65" i="21"/>
  <c r="H65" i="21"/>
  <c r="V64" i="21"/>
  <c r="L64" i="21"/>
  <c r="J64" i="21"/>
  <c r="H64" i="21"/>
  <c r="V63" i="21"/>
  <c r="L63" i="21"/>
  <c r="J63" i="21"/>
  <c r="H63" i="21"/>
  <c r="V62" i="21"/>
  <c r="L62" i="21"/>
  <c r="H62" i="21"/>
  <c r="V61" i="21"/>
  <c r="L61" i="21"/>
  <c r="J61" i="21"/>
  <c r="H61" i="21"/>
  <c r="V60" i="21"/>
  <c r="N60" i="21"/>
  <c r="L60" i="21"/>
  <c r="J60" i="21"/>
  <c r="H60" i="21"/>
  <c r="V59" i="21"/>
  <c r="L59" i="21"/>
  <c r="J59" i="21"/>
  <c r="H59" i="21"/>
  <c r="V58" i="21"/>
  <c r="L58" i="21"/>
  <c r="J58" i="21"/>
  <c r="H58" i="21"/>
  <c r="V57" i="21"/>
  <c r="L57" i="21"/>
  <c r="J57" i="21"/>
  <c r="H57" i="21"/>
  <c r="A57" i="21"/>
  <c r="V56" i="21"/>
  <c r="N56" i="21"/>
  <c r="L56" i="21"/>
  <c r="H56" i="21"/>
  <c r="Y55" i="21"/>
  <c r="V55" i="21"/>
  <c r="H55" i="21"/>
  <c r="V54" i="21"/>
  <c r="L54" i="21"/>
  <c r="J54" i="21"/>
  <c r="H54" i="21"/>
  <c r="V53" i="21"/>
  <c r="L53" i="21"/>
  <c r="J53" i="21"/>
  <c r="H53" i="21"/>
  <c r="V52" i="21"/>
  <c r="L52" i="21"/>
  <c r="J52" i="21"/>
  <c r="H52" i="21"/>
  <c r="V51" i="21"/>
  <c r="L51" i="21"/>
  <c r="J51" i="21"/>
  <c r="H51" i="21"/>
  <c r="V50" i="21"/>
  <c r="L50" i="21"/>
  <c r="H50" i="21"/>
  <c r="V49" i="21"/>
  <c r="L49" i="21"/>
  <c r="J49" i="21"/>
  <c r="H49" i="21"/>
  <c r="V48" i="21"/>
  <c r="L48" i="21"/>
  <c r="K48" i="21"/>
  <c r="J48" i="21"/>
  <c r="H48" i="21"/>
  <c r="V47" i="21"/>
  <c r="L47" i="21"/>
  <c r="H47" i="21"/>
  <c r="V46" i="21"/>
  <c r="L46" i="21"/>
  <c r="H46" i="21"/>
  <c r="V45" i="21"/>
  <c r="L45" i="21"/>
  <c r="H45" i="21"/>
  <c r="V44" i="21"/>
  <c r="L44" i="21"/>
  <c r="J44" i="21"/>
  <c r="H44" i="21"/>
  <c r="V43" i="21"/>
  <c r="L43" i="21"/>
  <c r="J43" i="21"/>
  <c r="H43" i="21"/>
  <c r="V42" i="21"/>
  <c r="L42" i="21"/>
  <c r="J42" i="21"/>
  <c r="H42" i="21"/>
  <c r="V41" i="21"/>
  <c r="L41" i="21"/>
  <c r="H41" i="21"/>
  <c r="V40" i="21"/>
  <c r="L40" i="21"/>
  <c r="J40" i="21"/>
  <c r="H40" i="21"/>
  <c r="V39" i="21"/>
  <c r="L39" i="21"/>
  <c r="J39" i="21"/>
  <c r="H39" i="21"/>
  <c r="V38" i="21"/>
  <c r="L38" i="21"/>
  <c r="H38" i="21"/>
  <c r="V37" i="21"/>
  <c r="L37" i="21"/>
  <c r="H37" i="21"/>
  <c r="Y36" i="21"/>
  <c r="L36" i="21" s="1"/>
  <c r="V36" i="21"/>
  <c r="J36" i="21"/>
  <c r="H36" i="21"/>
  <c r="Y35" i="21"/>
  <c r="L35" i="21" s="1"/>
  <c r="V35" i="21"/>
  <c r="H35" i="21"/>
  <c r="Y34" i="21"/>
  <c r="L34" i="21" s="1"/>
  <c r="V34" i="21"/>
  <c r="H34" i="21"/>
  <c r="V33" i="21"/>
  <c r="L33" i="21"/>
  <c r="H33" i="21"/>
  <c r="Y32" i="21"/>
  <c r="L32" i="21" s="1"/>
  <c r="V32" i="21"/>
  <c r="H32" i="21"/>
  <c r="Y31" i="21"/>
  <c r="L31" i="21" s="1"/>
  <c r="V31" i="21"/>
  <c r="H31" i="21"/>
  <c r="Y30" i="21"/>
  <c r="L30" i="21" s="1"/>
  <c r="V30" i="21"/>
  <c r="H30" i="21"/>
  <c r="Y29" i="21"/>
  <c r="L29" i="21" s="1"/>
  <c r="V29" i="21"/>
  <c r="J29" i="21"/>
  <c r="H29" i="21"/>
  <c r="V28" i="21"/>
  <c r="L28" i="21"/>
  <c r="H28" i="21"/>
  <c r="Y27" i="21"/>
  <c r="L27" i="21" s="1"/>
  <c r="V27" i="21"/>
  <c r="H27" i="21"/>
  <c r="Y26" i="21"/>
  <c r="L26" i="21" s="1"/>
  <c r="V26" i="21"/>
  <c r="H26" i="21"/>
  <c r="Y25" i="21"/>
  <c r="L25" i="21" s="1"/>
  <c r="V25" i="21"/>
  <c r="H25" i="21"/>
  <c r="V24" i="21"/>
  <c r="L24" i="21"/>
  <c r="K24" i="21"/>
  <c r="H24" i="21"/>
  <c r="V23" i="21"/>
  <c r="L23" i="21"/>
  <c r="H23" i="21"/>
  <c r="V22" i="21"/>
  <c r="H22" i="21"/>
  <c r="O22" i="21" s="1"/>
  <c r="V21" i="21"/>
  <c r="L21" i="21"/>
  <c r="J21" i="21"/>
  <c r="H21" i="21"/>
  <c r="Y20" i="21"/>
  <c r="L20" i="21" s="1"/>
  <c r="V20" i="21"/>
  <c r="H20" i="21"/>
  <c r="V19" i="21"/>
  <c r="L19" i="21"/>
  <c r="J19" i="21"/>
  <c r="H19" i="21"/>
  <c r="V18" i="21"/>
  <c r="L18" i="21"/>
  <c r="H18" i="21"/>
  <c r="Y17" i="21"/>
  <c r="L17" i="21" s="1"/>
  <c r="V17" i="21"/>
  <c r="H17" i="21"/>
  <c r="V16" i="21"/>
  <c r="L16" i="21"/>
  <c r="H16" i="21"/>
  <c r="V15" i="21"/>
  <c r="L15" i="21"/>
  <c r="H15" i="21"/>
  <c r="Y14" i="21"/>
  <c r="L14" i="21" s="1"/>
  <c r="V14" i="21"/>
  <c r="H14" i="21"/>
  <c r="V13" i="21"/>
  <c r="L13" i="21"/>
  <c r="H13" i="21"/>
  <c r="V12" i="21"/>
  <c r="L12" i="21"/>
  <c r="K12" i="21"/>
  <c r="J12" i="21"/>
  <c r="H12" i="21"/>
  <c r="V11" i="21"/>
  <c r="L11" i="21"/>
  <c r="J11" i="21"/>
  <c r="H11" i="21"/>
  <c r="V10" i="21"/>
  <c r="L10" i="21"/>
  <c r="H10" i="21"/>
  <c r="Y9" i="21"/>
  <c r="L9" i="21" s="1"/>
  <c r="V9" i="21"/>
  <c r="H9" i="21"/>
  <c r="V8" i="21"/>
  <c r="H8" i="21"/>
  <c r="O8" i="21" s="1"/>
  <c r="V7" i="21"/>
  <c r="L7" i="21"/>
  <c r="K7" i="21"/>
  <c r="H7" i="21"/>
  <c r="V6" i="21"/>
  <c r="M6" i="21"/>
  <c r="N6" i="21" s="1"/>
  <c r="L6" i="21"/>
  <c r="K6" i="21"/>
  <c r="J6" i="21"/>
  <c r="H6" i="21"/>
  <c r="V5" i="21"/>
  <c r="L5" i="21"/>
  <c r="J5" i="21"/>
  <c r="H5" i="21"/>
  <c r="AA35" i="20"/>
  <c r="O35" i="20"/>
  <c r="T35" i="20" s="1"/>
  <c r="AA34" i="20"/>
  <c r="O34" i="20"/>
  <c r="T34" i="20" s="1"/>
  <c r="AA33" i="20"/>
  <c r="O33" i="20"/>
  <c r="T33" i="20" s="1"/>
  <c r="AA32" i="20"/>
  <c r="T32" i="20"/>
  <c r="AA31" i="20"/>
  <c r="T31" i="20"/>
  <c r="AA30" i="20"/>
  <c r="O30" i="20"/>
  <c r="T30" i="20" s="1"/>
  <c r="AA29" i="20"/>
  <c r="T29" i="20"/>
  <c r="AA28" i="20"/>
  <c r="O28" i="20"/>
  <c r="L28" i="20"/>
  <c r="H28" i="20"/>
  <c r="AA27" i="20"/>
  <c r="O27" i="20"/>
  <c r="L27" i="20"/>
  <c r="I27" i="20"/>
  <c r="AA26" i="20"/>
  <c r="O26" i="20"/>
  <c r="L26" i="20"/>
  <c r="H26" i="20"/>
  <c r="I26" i="20" s="1"/>
  <c r="AC25" i="20"/>
  <c r="L25" i="20" s="1"/>
  <c r="AA25" i="20"/>
  <c r="O25" i="20"/>
  <c r="I25" i="20"/>
  <c r="AA24" i="20"/>
  <c r="S24" i="20"/>
  <c r="L24" i="20"/>
  <c r="H24" i="20"/>
  <c r="I24" i="20" s="1"/>
  <c r="AC23" i="20"/>
  <c r="L23" i="20" s="1"/>
  <c r="AA23" i="20"/>
  <c r="G23" i="20"/>
  <c r="H23" i="20" s="1"/>
  <c r="AA22" i="20"/>
  <c r="S22" i="20"/>
  <c r="L22" i="20"/>
  <c r="J22" i="20"/>
  <c r="H22" i="20"/>
  <c r="AA21" i="20"/>
  <c r="O21" i="20"/>
  <c r="L21" i="20"/>
  <c r="I21" i="20"/>
  <c r="AA20" i="20"/>
  <c r="S20" i="20"/>
  <c r="R20" i="20"/>
  <c r="O20" i="20"/>
  <c r="L20" i="20"/>
  <c r="H20" i="20"/>
  <c r="AC19" i="20"/>
  <c r="AA19" i="20"/>
  <c r="R19" i="20"/>
  <c r="O19" i="20"/>
  <c r="I19" i="20"/>
  <c r="AA18" i="20"/>
  <c r="R18" i="20"/>
  <c r="L18" i="20"/>
  <c r="H18" i="20"/>
  <c r="I18" i="20" s="1"/>
  <c r="AA17" i="20"/>
  <c r="O17" i="20"/>
  <c r="L17" i="20"/>
  <c r="I17" i="20"/>
  <c r="AA16" i="20"/>
  <c r="L16" i="20"/>
  <c r="H16" i="20"/>
  <c r="AD15" i="20"/>
  <c r="L15" i="20" s="1"/>
  <c r="T15" i="20" s="1"/>
  <c r="AA15" i="20"/>
  <c r="AD14" i="20"/>
  <c r="L14" i="20" s="1"/>
  <c r="AA14" i="20"/>
  <c r="I14" i="20"/>
  <c r="AA13" i="20"/>
  <c r="L13" i="20"/>
  <c r="I13" i="20"/>
  <c r="G13" i="20"/>
  <c r="AD12" i="20"/>
  <c r="L12" i="20" s="1"/>
  <c r="T12" i="20" s="1"/>
  <c r="AA12" i="20"/>
  <c r="AC11" i="20"/>
  <c r="AA11" i="20"/>
  <c r="J11" i="20"/>
  <c r="I11" i="20"/>
  <c r="G11" i="20"/>
  <c r="O11" i="20" s="1"/>
  <c r="AA10" i="20"/>
  <c r="S10" i="20"/>
  <c r="O10" i="20"/>
  <c r="L10" i="20"/>
  <c r="AA9" i="20"/>
  <c r="O9" i="20"/>
  <c r="L9" i="20"/>
  <c r="AA8" i="20"/>
  <c r="L8" i="20"/>
  <c r="I8" i="20"/>
  <c r="AA7" i="20"/>
  <c r="L7" i="20"/>
  <c r="T7" i="20" s="1"/>
  <c r="AA6" i="20"/>
  <c r="S6" i="20"/>
  <c r="L6" i="20"/>
  <c r="J3" i="20"/>
  <c r="AB33" i="20" l="1"/>
  <c r="AB35" i="20"/>
  <c r="O31" i="21"/>
  <c r="O9" i="21"/>
  <c r="W9" i="21" s="1"/>
  <c r="O28" i="21"/>
  <c r="W28" i="21" s="1"/>
  <c r="O33" i="21"/>
  <c r="W33" i="21" s="1"/>
  <c r="W31" i="21"/>
  <c r="O25" i="21"/>
  <c r="W25" i="21" s="1"/>
  <c r="O38" i="21"/>
  <c r="W38" i="21" s="1"/>
  <c r="O11" i="21"/>
  <c r="W11" i="21" s="1"/>
  <c r="O43" i="21"/>
  <c r="W43" i="21" s="1"/>
  <c r="O41" i="21"/>
  <c r="W41" i="21" s="1"/>
  <c r="O27" i="21"/>
  <c r="W27" i="21" s="1"/>
  <c r="O20" i="21"/>
  <c r="W20" i="21" s="1"/>
  <c r="O67" i="21"/>
  <c r="W67" i="21" s="1"/>
  <c r="O14" i="21"/>
  <c r="W14" i="21" s="1"/>
  <c r="O5" i="21"/>
  <c r="W5" i="21" s="1"/>
  <c r="O17" i="21"/>
  <c r="W17" i="21" s="1"/>
  <c r="O35" i="21"/>
  <c r="W35" i="21" s="1"/>
  <c r="O47" i="21"/>
  <c r="W47" i="21" s="1"/>
  <c r="L55" i="21"/>
  <c r="O55" i="21" s="1"/>
  <c r="W55" i="21" s="1"/>
  <c r="O23" i="21"/>
  <c r="W23" i="21" s="1"/>
  <c r="O46" i="21"/>
  <c r="W46" i="21" s="1"/>
  <c r="W93" i="21"/>
  <c r="O29" i="21"/>
  <c r="W29" i="21" s="1"/>
  <c r="O19" i="21"/>
  <c r="W19" i="21" s="1"/>
  <c r="O30" i="21"/>
  <c r="W30" i="21" s="1"/>
  <c r="O40" i="21"/>
  <c r="W40" i="21" s="1"/>
  <c r="O49" i="21"/>
  <c r="W49" i="21" s="1"/>
  <c r="O50" i="21"/>
  <c r="W50" i="21" s="1"/>
  <c r="O61" i="21"/>
  <c r="W61" i="21" s="1"/>
  <c r="O62" i="21"/>
  <c r="W62" i="21" s="1"/>
  <c r="O7" i="21"/>
  <c r="W7" i="21" s="1"/>
  <c r="O10" i="21"/>
  <c r="W10" i="21" s="1"/>
  <c r="O12" i="21"/>
  <c r="W12" i="21" s="1"/>
  <c r="O16" i="21"/>
  <c r="W16" i="21" s="1"/>
  <c r="O18" i="21"/>
  <c r="W18" i="21" s="1"/>
  <c r="O21" i="21"/>
  <c r="W22" i="21"/>
  <c r="O24" i="21"/>
  <c r="W24" i="21" s="1"/>
  <c r="O32" i="21"/>
  <c r="W32" i="21" s="1"/>
  <c r="O36" i="21"/>
  <c r="W36" i="21" s="1"/>
  <c r="O44" i="21"/>
  <c r="W44" i="21" s="1"/>
  <c r="O45" i="21"/>
  <c r="W45" i="21" s="1"/>
  <c r="O6" i="21"/>
  <c r="W6" i="21" s="1"/>
  <c r="W8" i="21"/>
  <c r="O15" i="21"/>
  <c r="W15" i="21" s="1"/>
  <c r="O26" i="21"/>
  <c r="W26" i="21" s="1"/>
  <c r="O51" i="21"/>
  <c r="W51" i="21" s="1"/>
  <c r="O52" i="21"/>
  <c r="W52" i="21" s="1"/>
  <c r="O53" i="21"/>
  <c r="W53" i="21" s="1"/>
  <c r="O54" i="21"/>
  <c r="O57" i="21"/>
  <c r="W57" i="21" s="1"/>
  <c r="O59" i="21"/>
  <c r="W59" i="21" s="1"/>
  <c r="O60" i="21"/>
  <c r="W60" i="21" s="1"/>
  <c r="O63" i="21"/>
  <c r="W63" i="21" s="1"/>
  <c r="O64" i="21"/>
  <c r="W64" i="21" s="1"/>
  <c r="O65" i="21"/>
  <c r="W65" i="21" s="1"/>
  <c r="O66" i="21"/>
  <c r="W66" i="21" s="1"/>
  <c r="AB32" i="20"/>
  <c r="AB34" i="20"/>
  <c r="AB15" i="20"/>
  <c r="AB12" i="20"/>
  <c r="T27" i="20"/>
  <c r="AB27" i="20" s="1"/>
  <c r="AB7" i="20"/>
  <c r="AB31" i="20"/>
  <c r="T25" i="20"/>
  <c r="AB25" i="20" s="1"/>
  <c r="T6" i="20"/>
  <c r="AB6" i="20" s="1"/>
  <c r="T9" i="20"/>
  <c r="AB9" i="20" s="1"/>
  <c r="T14" i="20"/>
  <c r="AB14" i="20" s="1"/>
  <c r="T10" i="20"/>
  <c r="AB10" i="20" s="1"/>
  <c r="L11" i="20"/>
  <c r="T17" i="20"/>
  <c r="AB17" i="20" s="1"/>
  <c r="T24" i="20"/>
  <c r="AB24" i="20" s="1"/>
  <c r="AB30" i="20"/>
  <c r="I28" i="20"/>
  <c r="T28" i="20" s="1"/>
  <c r="AB28" i="20" s="1"/>
  <c r="T13" i="20"/>
  <c r="AB13" i="20" s="1"/>
  <c r="T21" i="20"/>
  <c r="AB21" i="20" s="1"/>
  <c r="O34" i="21"/>
  <c r="W34" i="21" s="1"/>
  <c r="O13" i="21"/>
  <c r="O37" i="21"/>
  <c r="O42" i="21"/>
  <c r="O56" i="21"/>
  <c r="O48" i="21"/>
  <c r="W48" i="21" s="1"/>
  <c r="O39" i="21"/>
  <c r="O58" i="21"/>
  <c r="W58" i="21" s="1"/>
  <c r="I23" i="20"/>
  <c r="T23" i="20" s="1"/>
  <c r="AB23" i="20" s="1"/>
  <c r="T8" i="20"/>
  <c r="AB8" i="20" s="1"/>
  <c r="I22" i="20"/>
  <c r="T22" i="20" s="1"/>
  <c r="AB22" i="20" s="1"/>
  <c r="AB29" i="20"/>
  <c r="T18" i="20"/>
  <c r="AB18" i="20" s="1"/>
  <c r="L19" i="20"/>
  <c r="T19" i="20" s="1"/>
  <c r="AB19" i="20" s="1"/>
  <c r="I20" i="20"/>
  <c r="T20" i="20" s="1"/>
  <c r="AB20" i="20" s="1"/>
  <c r="T26" i="20"/>
  <c r="AB26" i="20" s="1"/>
  <c r="I16" i="20"/>
  <c r="W54" i="21" l="1"/>
  <c r="W21" i="21"/>
  <c r="T11" i="20"/>
  <c r="AB11" i="20" s="1"/>
  <c r="W42" i="21"/>
  <c r="W37" i="21"/>
  <c r="W56" i="21"/>
  <c r="W13" i="21"/>
  <c r="W39" i="21"/>
  <c r="T16" i="20"/>
  <c r="AB16" i="20" l="1"/>
  <c r="V109" i="19" l="1"/>
  <c r="L109" i="19"/>
  <c r="J109" i="19"/>
  <c r="H109" i="19"/>
  <c r="V94" i="19"/>
  <c r="H94" i="19"/>
  <c r="O94" i="19" s="1"/>
  <c r="V67" i="19"/>
  <c r="L67" i="19"/>
  <c r="J67" i="19"/>
  <c r="H67" i="19"/>
  <c r="V66" i="19"/>
  <c r="L66" i="19"/>
  <c r="H66" i="19"/>
  <c r="V65" i="19"/>
  <c r="L65" i="19"/>
  <c r="J65" i="19"/>
  <c r="H65" i="19"/>
  <c r="V64" i="19"/>
  <c r="L64" i="19"/>
  <c r="J64" i="19"/>
  <c r="H64" i="19"/>
  <c r="V63" i="19"/>
  <c r="L63" i="19"/>
  <c r="J63" i="19"/>
  <c r="H63" i="19"/>
  <c r="V62" i="19"/>
  <c r="L62" i="19"/>
  <c r="H62" i="19"/>
  <c r="V61" i="19"/>
  <c r="L61" i="19"/>
  <c r="J61" i="19"/>
  <c r="H61" i="19"/>
  <c r="V60" i="19"/>
  <c r="L60" i="19"/>
  <c r="J60" i="19"/>
  <c r="H60" i="19"/>
  <c r="V59" i="19"/>
  <c r="L59" i="19"/>
  <c r="J59" i="19"/>
  <c r="H59" i="19"/>
  <c r="V58" i="19"/>
  <c r="L58" i="19"/>
  <c r="J58" i="19"/>
  <c r="H58" i="19"/>
  <c r="V57" i="19"/>
  <c r="L57" i="19"/>
  <c r="J57" i="19"/>
  <c r="H57" i="19"/>
  <c r="A57" i="19"/>
  <c r="V56" i="19"/>
  <c r="L56" i="19"/>
  <c r="H56" i="19"/>
  <c r="V55" i="19"/>
  <c r="L55" i="19"/>
  <c r="K55" i="19"/>
  <c r="H55" i="19"/>
  <c r="V53" i="19"/>
  <c r="L53" i="19"/>
  <c r="H53" i="19"/>
  <c r="V52" i="19"/>
  <c r="L52" i="19"/>
  <c r="H52" i="19"/>
  <c r="V51" i="19"/>
  <c r="L51" i="19"/>
  <c r="H51" i="19"/>
  <c r="V50" i="19"/>
  <c r="L50" i="19"/>
  <c r="H50" i="19"/>
  <c r="V49" i="19"/>
  <c r="M49" i="19"/>
  <c r="L49" i="19"/>
  <c r="H49" i="19"/>
  <c r="V48" i="19"/>
  <c r="L48" i="19"/>
  <c r="K48" i="19"/>
  <c r="J48" i="19"/>
  <c r="H48" i="19"/>
  <c r="V47" i="19"/>
  <c r="L47" i="19"/>
  <c r="H47" i="19"/>
  <c r="V46" i="19"/>
  <c r="L46" i="19"/>
  <c r="H46" i="19"/>
  <c r="V45" i="19"/>
  <c r="L45" i="19"/>
  <c r="H45" i="19"/>
  <c r="V44" i="19"/>
  <c r="L44" i="19"/>
  <c r="H44" i="19"/>
  <c r="V43" i="19"/>
  <c r="L43" i="19"/>
  <c r="H43" i="19"/>
  <c r="V42" i="19"/>
  <c r="L42" i="19"/>
  <c r="H42" i="19"/>
  <c r="V41" i="19"/>
  <c r="L41" i="19"/>
  <c r="H41" i="19"/>
  <c r="V40" i="19"/>
  <c r="L40" i="19"/>
  <c r="H40" i="19"/>
  <c r="V39" i="19"/>
  <c r="L39" i="19"/>
  <c r="H39" i="19"/>
  <c r="V38" i="19"/>
  <c r="L38" i="19"/>
  <c r="H38" i="19"/>
  <c r="V37" i="19"/>
  <c r="L37" i="19"/>
  <c r="H37" i="19"/>
  <c r="Y36" i="19"/>
  <c r="L36" i="19" s="1"/>
  <c r="V36" i="19"/>
  <c r="J36" i="19"/>
  <c r="H36" i="19"/>
  <c r="Y35" i="19"/>
  <c r="L35" i="19" s="1"/>
  <c r="V35" i="19"/>
  <c r="H35" i="19"/>
  <c r="Y34" i="19"/>
  <c r="L34" i="19" s="1"/>
  <c r="V34" i="19"/>
  <c r="H34" i="19"/>
  <c r="V33" i="19"/>
  <c r="L33" i="19"/>
  <c r="H33" i="19"/>
  <c r="Y32" i="19"/>
  <c r="L32" i="19" s="1"/>
  <c r="V32" i="19"/>
  <c r="H32" i="19"/>
  <c r="Y31" i="19"/>
  <c r="L31" i="19" s="1"/>
  <c r="V31" i="19"/>
  <c r="K31" i="19"/>
  <c r="H31" i="19"/>
  <c r="Y30" i="19"/>
  <c r="L30" i="19" s="1"/>
  <c r="V30" i="19"/>
  <c r="H30" i="19"/>
  <c r="Y29" i="19"/>
  <c r="L29" i="19" s="1"/>
  <c r="V29" i="19"/>
  <c r="J29" i="19"/>
  <c r="H29" i="19"/>
  <c r="V28" i="19"/>
  <c r="L28" i="19"/>
  <c r="K28" i="19"/>
  <c r="H28" i="19"/>
  <c r="Y27" i="19"/>
  <c r="L27" i="19" s="1"/>
  <c r="V27" i="19"/>
  <c r="H27" i="19"/>
  <c r="Y26" i="19"/>
  <c r="L26" i="19" s="1"/>
  <c r="V26" i="19"/>
  <c r="H26" i="19"/>
  <c r="V25" i="19"/>
  <c r="L25" i="19"/>
  <c r="H25" i="19"/>
  <c r="V24" i="19"/>
  <c r="L24" i="19"/>
  <c r="K24" i="19"/>
  <c r="H24" i="19"/>
  <c r="V23" i="19"/>
  <c r="L23" i="19"/>
  <c r="H23" i="19"/>
  <c r="V22" i="19"/>
  <c r="H22" i="19"/>
  <c r="O22" i="19" s="1"/>
  <c r="V21" i="19"/>
  <c r="L21" i="19"/>
  <c r="K21" i="19"/>
  <c r="H21" i="19"/>
  <c r="Y20" i="19"/>
  <c r="L20" i="19" s="1"/>
  <c r="V20" i="19"/>
  <c r="H20" i="19"/>
  <c r="V19" i="19"/>
  <c r="L19" i="19"/>
  <c r="J19" i="19"/>
  <c r="H19" i="19"/>
  <c r="V18" i="19"/>
  <c r="L18" i="19"/>
  <c r="H18" i="19"/>
  <c r="V17" i="19"/>
  <c r="L17" i="19"/>
  <c r="H17" i="19"/>
  <c r="V16" i="19"/>
  <c r="L16" i="19"/>
  <c r="H16" i="19"/>
  <c r="V15" i="19"/>
  <c r="L15" i="19"/>
  <c r="H15" i="19"/>
  <c r="Y14" i="19"/>
  <c r="L14" i="19" s="1"/>
  <c r="V14" i="19"/>
  <c r="H14" i="19"/>
  <c r="V13" i="19"/>
  <c r="L13" i="19"/>
  <c r="H13" i="19"/>
  <c r="V12" i="19"/>
  <c r="L12" i="19"/>
  <c r="K12" i="19"/>
  <c r="J12" i="19"/>
  <c r="H12" i="19"/>
  <c r="V11" i="19"/>
  <c r="L11" i="19"/>
  <c r="J11" i="19"/>
  <c r="H11" i="19"/>
  <c r="V10" i="19"/>
  <c r="L10" i="19"/>
  <c r="H10" i="19"/>
  <c r="V9" i="19"/>
  <c r="L9" i="19"/>
  <c r="J9" i="19"/>
  <c r="H9" i="19"/>
  <c r="V8" i="19"/>
  <c r="H8" i="19"/>
  <c r="O8" i="19" s="1"/>
  <c r="V7" i="19"/>
  <c r="L7" i="19"/>
  <c r="K7" i="19"/>
  <c r="H7" i="19"/>
  <c r="V6" i="19"/>
  <c r="L6" i="19"/>
  <c r="H6" i="19"/>
  <c r="V5" i="19"/>
  <c r="L5" i="19"/>
  <c r="J5" i="19"/>
  <c r="H5" i="19"/>
  <c r="AA35" i="18"/>
  <c r="O35" i="18"/>
  <c r="T35" i="18" s="1"/>
  <c r="AA34" i="18"/>
  <c r="O34" i="18"/>
  <c r="T34" i="18" s="1"/>
  <c r="AA33" i="18"/>
  <c r="O33" i="18"/>
  <c r="AA32" i="18"/>
  <c r="T32" i="18"/>
  <c r="AA31" i="18"/>
  <c r="T31" i="18"/>
  <c r="AA30" i="18"/>
  <c r="O30" i="18"/>
  <c r="T30" i="18" s="1"/>
  <c r="AA29" i="18"/>
  <c r="T29" i="18"/>
  <c r="AA28" i="18"/>
  <c r="O28" i="18"/>
  <c r="L28" i="18"/>
  <c r="H28" i="18"/>
  <c r="I28" i="18" s="1"/>
  <c r="AA27" i="18"/>
  <c r="L27" i="18"/>
  <c r="I27" i="18"/>
  <c r="AA26" i="18"/>
  <c r="O26" i="18"/>
  <c r="L26" i="18"/>
  <c r="H26" i="18"/>
  <c r="I26" i="18" s="1"/>
  <c r="AC25" i="18"/>
  <c r="L25" i="18" s="1"/>
  <c r="AA25" i="18"/>
  <c r="I25" i="18"/>
  <c r="AA24" i="18"/>
  <c r="S24" i="18"/>
  <c r="L24" i="18"/>
  <c r="I24" i="18"/>
  <c r="AC23" i="18"/>
  <c r="L23" i="18" s="1"/>
  <c r="AA23" i="18"/>
  <c r="G23" i="18"/>
  <c r="AA22" i="18"/>
  <c r="L22" i="18"/>
  <c r="J22" i="18"/>
  <c r="I22" i="18"/>
  <c r="AA21" i="18"/>
  <c r="L21" i="18"/>
  <c r="H21" i="18"/>
  <c r="I21" i="18" s="1"/>
  <c r="AA20" i="18"/>
  <c r="S20" i="18"/>
  <c r="O20" i="18"/>
  <c r="L20" i="18"/>
  <c r="H20" i="18"/>
  <c r="I20" i="18" s="1"/>
  <c r="AC19" i="18"/>
  <c r="L19" i="18" s="1"/>
  <c r="AA19" i="18"/>
  <c r="R19" i="18"/>
  <c r="H19" i="18"/>
  <c r="I19" i="18" s="1"/>
  <c r="AA18" i="18"/>
  <c r="R18" i="18"/>
  <c r="L18" i="18"/>
  <c r="I18" i="18"/>
  <c r="AA17" i="18"/>
  <c r="L17" i="18"/>
  <c r="H17" i="18"/>
  <c r="I17" i="18" s="1"/>
  <c r="AA16" i="18"/>
  <c r="L16" i="18"/>
  <c r="T16" i="18" s="1"/>
  <c r="E20" i="23" s="1"/>
  <c r="AD15" i="18"/>
  <c r="L15" i="18" s="1"/>
  <c r="T15" i="18" s="1"/>
  <c r="E19" i="23" s="1"/>
  <c r="AA15" i="18"/>
  <c r="AD14" i="18"/>
  <c r="L14" i="18" s="1"/>
  <c r="AA14" i="18"/>
  <c r="O14" i="18"/>
  <c r="I14" i="18"/>
  <c r="AA13" i="18"/>
  <c r="L13" i="18"/>
  <c r="I13" i="18"/>
  <c r="G13" i="18"/>
  <c r="AD12" i="18"/>
  <c r="AA12" i="18"/>
  <c r="AD11" i="18"/>
  <c r="AC11" i="18"/>
  <c r="AA11" i="18"/>
  <c r="O11" i="18"/>
  <c r="J11" i="18"/>
  <c r="I11" i="18"/>
  <c r="AA10" i="18"/>
  <c r="S10" i="18"/>
  <c r="O10" i="18"/>
  <c r="L10" i="18"/>
  <c r="AA9" i="18"/>
  <c r="O9" i="18"/>
  <c r="L9" i="18"/>
  <c r="AA8" i="18"/>
  <c r="L8" i="18"/>
  <c r="I8" i="18"/>
  <c r="AA7" i="18"/>
  <c r="L7" i="18"/>
  <c r="T7" i="18" s="1"/>
  <c r="E11" i="23" s="1"/>
  <c r="AA6" i="18"/>
  <c r="S6" i="18"/>
  <c r="L6" i="18"/>
  <c r="J3" i="18"/>
  <c r="O43" i="19" l="1"/>
  <c r="O50" i="19"/>
  <c r="AB31" i="18"/>
  <c r="W43" i="19"/>
  <c r="O49" i="19"/>
  <c r="W50" i="19"/>
  <c r="W49" i="19"/>
  <c r="O51" i="19"/>
  <c r="W51" i="19" s="1"/>
  <c r="O60" i="19"/>
  <c r="W60" i="19" s="1"/>
  <c r="O40" i="19"/>
  <c r="W40" i="19" s="1"/>
  <c r="O45" i="19"/>
  <c r="W45" i="19" s="1"/>
  <c r="O14" i="19"/>
  <c r="W14" i="19" s="1"/>
  <c r="O66" i="19"/>
  <c r="W66" i="19" s="1"/>
  <c r="O21" i="19"/>
  <c r="W21" i="19" s="1"/>
  <c r="O12" i="19"/>
  <c r="W12" i="19" s="1"/>
  <c r="O18" i="19"/>
  <c r="W18" i="19" s="1"/>
  <c r="O9" i="19"/>
  <c r="W9" i="19" s="1"/>
  <c r="O10" i="19"/>
  <c r="W10" i="19" s="1"/>
  <c r="O17" i="19"/>
  <c r="W17" i="19" s="1"/>
  <c r="O41" i="19"/>
  <c r="W41" i="19" s="1"/>
  <c r="W94" i="19"/>
  <c r="O5" i="19"/>
  <c r="W5" i="19" s="1"/>
  <c r="O26" i="19"/>
  <c r="W26" i="19" s="1"/>
  <c r="W8" i="19"/>
  <c r="O25" i="19"/>
  <c r="W25" i="19" s="1"/>
  <c r="O35" i="19"/>
  <c r="W35" i="19" s="1"/>
  <c r="O47" i="19"/>
  <c r="W47" i="19" s="1"/>
  <c r="O46" i="19"/>
  <c r="W46" i="19" s="1"/>
  <c r="O64" i="19"/>
  <c r="W64" i="19" s="1"/>
  <c r="O67" i="19"/>
  <c r="W67" i="19" s="1"/>
  <c r="O11" i="19"/>
  <c r="W11" i="19" s="1"/>
  <c r="O15" i="19"/>
  <c r="W15" i="19" s="1"/>
  <c r="O20" i="19"/>
  <c r="W20" i="19" s="1"/>
  <c r="W22" i="19"/>
  <c r="O33" i="19"/>
  <c r="W33" i="19" s="1"/>
  <c r="O38" i="19"/>
  <c r="W38" i="19" s="1"/>
  <c r="O52" i="19"/>
  <c r="W52" i="19" s="1"/>
  <c r="O56" i="19"/>
  <c r="W56" i="19" s="1"/>
  <c r="O58" i="19"/>
  <c r="W58" i="19" s="1"/>
  <c r="O61" i="19"/>
  <c r="W61" i="19" s="1"/>
  <c r="O62" i="19"/>
  <c r="W62" i="19" s="1"/>
  <c r="O31" i="19"/>
  <c r="W31" i="19" s="1"/>
  <c r="O7" i="19"/>
  <c r="W7" i="19" s="1"/>
  <c r="O32" i="19"/>
  <c r="W32" i="19" s="1"/>
  <c r="O34" i="19"/>
  <c r="W34" i="19" s="1"/>
  <c r="O44" i="19"/>
  <c r="W44" i="19" s="1"/>
  <c r="O63" i="19"/>
  <c r="W63" i="19" s="1"/>
  <c r="O65" i="19"/>
  <c r="W65" i="19" s="1"/>
  <c r="O19" i="19"/>
  <c r="W19" i="19" s="1"/>
  <c r="O27" i="19"/>
  <c r="W27" i="19" s="1"/>
  <c r="O28" i="19"/>
  <c r="W28" i="19" s="1"/>
  <c r="O29" i="19"/>
  <c r="W29" i="19" s="1"/>
  <c r="O36" i="19"/>
  <c r="W36" i="19" s="1"/>
  <c r="O55" i="19"/>
  <c r="W55" i="19" s="1"/>
  <c r="O57" i="19"/>
  <c r="W57" i="19" s="1"/>
  <c r="O16" i="19"/>
  <c r="W16" i="19" s="1"/>
  <c r="O23" i="19"/>
  <c r="W23" i="19" s="1"/>
  <c r="O30" i="19"/>
  <c r="W30" i="19" s="1"/>
  <c r="O42" i="19"/>
  <c r="W42" i="19" s="1"/>
  <c r="O48" i="19"/>
  <c r="W48" i="19" s="1"/>
  <c r="O53" i="19"/>
  <c r="W53" i="19" s="1"/>
  <c r="O59" i="19"/>
  <c r="W59" i="19" s="1"/>
  <c r="O109" i="19"/>
  <c r="W109" i="19" s="1"/>
  <c r="T18" i="18"/>
  <c r="E22" i="23" s="1"/>
  <c r="AB32" i="18"/>
  <c r="AB34" i="18"/>
  <c r="AB29" i="18"/>
  <c r="H23" i="18"/>
  <c r="I23" i="18" s="1"/>
  <c r="T20" i="18"/>
  <c r="T27" i="18"/>
  <c r="T10" i="18"/>
  <c r="T22" i="18"/>
  <c r="T6" i="18"/>
  <c r="T13" i="18"/>
  <c r="T25" i="18"/>
  <c r="L11" i="18"/>
  <c r="T11" i="18" s="1"/>
  <c r="T24" i="18"/>
  <c r="T28" i="18"/>
  <c r="T26" i="18"/>
  <c r="T9" i="18"/>
  <c r="L12" i="18"/>
  <c r="T19" i="18"/>
  <c r="T14" i="18"/>
  <c r="AB15" i="18"/>
  <c r="T21" i="18"/>
  <c r="AB35" i="18"/>
  <c r="O6" i="19"/>
  <c r="W6" i="19" s="1"/>
  <c r="O13" i="19"/>
  <c r="O24" i="19"/>
  <c r="O37" i="19"/>
  <c r="O39" i="19"/>
  <c r="AB30" i="18"/>
  <c r="T8" i="18"/>
  <c r="T33" i="18"/>
  <c r="AB33" i="18" s="1"/>
  <c r="AB16" i="18"/>
  <c r="T17" i="18"/>
  <c r="AB7" i="18"/>
  <c r="AB26" i="18" l="1"/>
  <c r="E30" i="23"/>
  <c r="AB25" i="18"/>
  <c r="E29" i="23"/>
  <c r="AB10" i="18"/>
  <c r="E14" i="23"/>
  <c r="AB18" i="18"/>
  <c r="AB19" i="18"/>
  <c r="E23" i="23"/>
  <c r="AB13" i="18"/>
  <c r="E17" i="23"/>
  <c r="AB8" i="18"/>
  <c r="E12" i="23"/>
  <c r="AB21" i="18"/>
  <c r="E25" i="23"/>
  <c r="AB24" i="18"/>
  <c r="E28" i="23"/>
  <c r="AB6" i="18"/>
  <c r="E10" i="23"/>
  <c r="AB20" i="18"/>
  <c r="E24" i="23"/>
  <c r="AB14" i="18"/>
  <c r="E18" i="23"/>
  <c r="AB28" i="18"/>
  <c r="E32" i="23"/>
  <c r="AB27" i="18"/>
  <c r="E31" i="23"/>
  <c r="AB17" i="18"/>
  <c r="E21" i="23"/>
  <c r="AB9" i="18"/>
  <c r="E13" i="23"/>
  <c r="AB11" i="18"/>
  <c r="E15" i="23"/>
  <c r="AB22" i="18"/>
  <c r="E26" i="23"/>
  <c r="X68" i="19"/>
  <c r="T23" i="18"/>
  <c r="T12" i="18"/>
  <c r="W24" i="19"/>
  <c r="W13" i="19"/>
  <c r="W39" i="19"/>
  <c r="W37" i="19"/>
  <c r="AB12" i="18" l="1"/>
  <c r="E16" i="23"/>
  <c r="AB23" i="18"/>
  <c r="E27" i="23"/>
  <c r="V126" i="17"/>
  <c r="L126" i="17"/>
  <c r="K126" i="17"/>
  <c r="H126" i="17"/>
  <c r="V103" i="17"/>
  <c r="L103" i="17"/>
  <c r="K103" i="17"/>
  <c r="H103" i="17"/>
  <c r="O103" i="17" s="1"/>
  <c r="W103" i="17" s="1"/>
  <c r="V55" i="17"/>
  <c r="L55" i="17"/>
  <c r="H55" i="17"/>
  <c r="V53" i="17"/>
  <c r="L53" i="17"/>
  <c r="H53" i="17"/>
  <c r="V52" i="17"/>
  <c r="L52" i="17"/>
  <c r="H52" i="17"/>
  <c r="V51" i="17"/>
  <c r="L51" i="17"/>
  <c r="H51" i="17"/>
  <c r="V50" i="17"/>
  <c r="L50" i="17"/>
  <c r="H50" i="17"/>
  <c r="V49" i="17"/>
  <c r="L49" i="17"/>
  <c r="H49" i="17"/>
  <c r="V48" i="17"/>
  <c r="L48" i="17"/>
  <c r="H48" i="17"/>
  <c r="V47" i="17"/>
  <c r="L47" i="17"/>
  <c r="H47" i="17"/>
  <c r="V46" i="17"/>
  <c r="L46" i="17"/>
  <c r="H46" i="17"/>
  <c r="V45" i="17"/>
  <c r="L45" i="17"/>
  <c r="H45" i="17"/>
  <c r="V44" i="17"/>
  <c r="L44" i="17"/>
  <c r="H44" i="17"/>
  <c r="V43" i="17"/>
  <c r="L43" i="17"/>
  <c r="H43" i="17"/>
  <c r="V42" i="17"/>
  <c r="L42" i="17"/>
  <c r="H42" i="17"/>
  <c r="V41" i="17"/>
  <c r="L41" i="17"/>
  <c r="H41" i="17"/>
  <c r="V40" i="17"/>
  <c r="L40" i="17"/>
  <c r="H40" i="17"/>
  <c r="V39" i="17"/>
  <c r="L39" i="17"/>
  <c r="H39" i="17"/>
  <c r="V38" i="17"/>
  <c r="L38" i="17"/>
  <c r="H38" i="17"/>
  <c r="V37" i="17"/>
  <c r="L37" i="17"/>
  <c r="H37" i="17"/>
  <c r="V36" i="17"/>
  <c r="L36" i="17"/>
  <c r="H36" i="17"/>
  <c r="V35" i="17"/>
  <c r="L35" i="17"/>
  <c r="H35" i="17"/>
  <c r="V34" i="17"/>
  <c r="L34" i="17"/>
  <c r="H34" i="17"/>
  <c r="V33" i="17"/>
  <c r="L33" i="17"/>
  <c r="K33" i="17"/>
  <c r="H33" i="17"/>
  <c r="V32" i="17"/>
  <c r="L32" i="17"/>
  <c r="H32" i="17"/>
  <c r="Y31" i="17"/>
  <c r="V31" i="17"/>
  <c r="K31" i="17"/>
  <c r="H31" i="17"/>
  <c r="Y30" i="17"/>
  <c r="L30" i="17" s="1"/>
  <c r="V30" i="17"/>
  <c r="H30" i="17"/>
  <c r="V29" i="17"/>
  <c r="L29" i="17"/>
  <c r="K29" i="17"/>
  <c r="H29" i="17"/>
  <c r="V28" i="17"/>
  <c r="L28" i="17"/>
  <c r="K28" i="17"/>
  <c r="H28" i="17"/>
  <c r="V27" i="17"/>
  <c r="L27" i="17"/>
  <c r="H27" i="17"/>
  <c r="V26" i="17"/>
  <c r="L26" i="17"/>
  <c r="H26" i="17"/>
  <c r="V25" i="17"/>
  <c r="L25" i="17"/>
  <c r="H25" i="17"/>
  <c r="V24" i="17"/>
  <c r="L24" i="17"/>
  <c r="K24" i="17"/>
  <c r="J24" i="17"/>
  <c r="H24" i="17"/>
  <c r="V23" i="17"/>
  <c r="L23" i="17"/>
  <c r="H23" i="17"/>
  <c r="V22" i="17"/>
  <c r="H22" i="17"/>
  <c r="O22" i="17" s="1"/>
  <c r="V21" i="17"/>
  <c r="L21" i="17"/>
  <c r="K21" i="17"/>
  <c r="H21" i="17"/>
  <c r="V20" i="17"/>
  <c r="L20" i="17"/>
  <c r="H20" i="17"/>
  <c r="V19" i="17"/>
  <c r="L19" i="17"/>
  <c r="K19" i="17"/>
  <c r="H19" i="17"/>
  <c r="V18" i="17"/>
  <c r="L18" i="17"/>
  <c r="K18" i="17"/>
  <c r="H18" i="17"/>
  <c r="V17" i="17"/>
  <c r="L17" i="17"/>
  <c r="H17" i="17"/>
  <c r="P16" i="17"/>
  <c r="M16" i="17"/>
  <c r="L16" i="17"/>
  <c r="H16" i="17"/>
  <c r="V15" i="17"/>
  <c r="L15" i="17"/>
  <c r="H15" i="17"/>
  <c r="Y14" i="17"/>
  <c r="V14" i="17"/>
  <c r="H14" i="17"/>
  <c r="V13" i="17"/>
  <c r="L13" i="17"/>
  <c r="H13" i="17"/>
  <c r="V12" i="17"/>
  <c r="L12" i="17"/>
  <c r="K12" i="17"/>
  <c r="H12" i="17"/>
  <c r="V11" i="17"/>
  <c r="L11" i="17"/>
  <c r="H11" i="17"/>
  <c r="V10" i="17"/>
  <c r="L10" i="17"/>
  <c r="H10" i="17"/>
  <c r="V9" i="17"/>
  <c r="L9" i="17"/>
  <c r="J9" i="17"/>
  <c r="H9" i="17"/>
  <c r="V8" i="17"/>
  <c r="H8" i="17"/>
  <c r="O8" i="17" s="1"/>
  <c r="V7" i="17"/>
  <c r="L7" i="17"/>
  <c r="H7" i="17"/>
  <c r="V6" i="17"/>
  <c r="L6" i="17"/>
  <c r="H6" i="17"/>
  <c r="V5" i="17"/>
  <c r="L5" i="17"/>
  <c r="H5" i="17"/>
  <c r="AA43" i="16"/>
  <c r="T43" i="16"/>
  <c r="AA42" i="16"/>
  <c r="T42" i="16"/>
  <c r="AA41" i="16"/>
  <c r="T41" i="16"/>
  <c r="AA40" i="16"/>
  <c r="T40" i="16"/>
  <c r="AA39" i="16"/>
  <c r="T39" i="16"/>
  <c r="AA38" i="16"/>
  <c r="T38" i="16"/>
  <c r="AA37" i="16"/>
  <c r="T37" i="16"/>
  <c r="AA28" i="16"/>
  <c r="O28" i="16"/>
  <c r="L28" i="16"/>
  <c r="H28" i="16"/>
  <c r="I28" i="16" s="1"/>
  <c r="AA27" i="16"/>
  <c r="L27" i="16"/>
  <c r="I27" i="16"/>
  <c r="AA26" i="16"/>
  <c r="O26" i="16"/>
  <c r="L26" i="16"/>
  <c r="H26" i="16"/>
  <c r="I26" i="16" s="1"/>
  <c r="AC25" i="16"/>
  <c r="L25" i="16" s="1"/>
  <c r="AA25" i="16"/>
  <c r="O25" i="16"/>
  <c r="I25" i="16"/>
  <c r="AA24" i="16"/>
  <c r="S24" i="16"/>
  <c r="O24" i="16"/>
  <c r="L24" i="16"/>
  <c r="I24" i="16"/>
  <c r="AC23" i="16"/>
  <c r="L23" i="16" s="1"/>
  <c r="AA23" i="16"/>
  <c r="I23" i="16"/>
  <c r="G23" i="16"/>
  <c r="O23" i="16" s="1"/>
  <c r="AA22" i="16"/>
  <c r="L22" i="16"/>
  <c r="J22" i="16"/>
  <c r="I22" i="16"/>
  <c r="AA21" i="16"/>
  <c r="L21" i="16"/>
  <c r="I21" i="16"/>
  <c r="AA20" i="16"/>
  <c r="S20" i="16"/>
  <c r="O20" i="16"/>
  <c r="L20" i="16"/>
  <c r="I20" i="16"/>
  <c r="AC19" i="16"/>
  <c r="L19" i="16" s="1"/>
  <c r="AA19" i="16"/>
  <c r="O19" i="16"/>
  <c r="I19" i="16"/>
  <c r="AA18" i="16"/>
  <c r="L18" i="16"/>
  <c r="H18" i="16"/>
  <c r="AA17" i="16"/>
  <c r="L17" i="16"/>
  <c r="I17" i="16"/>
  <c r="AA16" i="16"/>
  <c r="O16" i="16"/>
  <c r="L16" i="16"/>
  <c r="AA15" i="16"/>
  <c r="L15" i="16"/>
  <c r="T15" i="16" s="1"/>
  <c r="AD14" i="16"/>
  <c r="AA14" i="16"/>
  <c r="H14" i="16"/>
  <c r="I14" i="16" s="1"/>
  <c r="AD13" i="16"/>
  <c r="L13" i="16" s="1"/>
  <c r="AA13" i="16"/>
  <c r="I13" i="16"/>
  <c r="G13" i="16"/>
  <c r="AD12" i="16"/>
  <c r="L12" i="16" s="1"/>
  <c r="T12" i="16" s="1"/>
  <c r="AA12" i="16"/>
  <c r="AC11" i="16"/>
  <c r="L11" i="16" s="1"/>
  <c r="AA11" i="16"/>
  <c r="J11" i="16"/>
  <c r="H11" i="16"/>
  <c r="AA10" i="16"/>
  <c r="S10" i="16"/>
  <c r="L10" i="16"/>
  <c r="H10" i="16"/>
  <c r="AA9" i="16"/>
  <c r="L9" i="16"/>
  <c r="H9" i="16"/>
  <c r="I9" i="16" s="1"/>
  <c r="AA8" i="16"/>
  <c r="L8" i="16"/>
  <c r="I8" i="16"/>
  <c r="AA7" i="16"/>
  <c r="L7" i="16"/>
  <c r="AA6" i="16"/>
  <c r="L6" i="16"/>
  <c r="J3" i="16"/>
  <c r="AB43" i="16" l="1"/>
  <c r="AB15" i="16"/>
  <c r="O39" i="17"/>
  <c r="O48" i="17"/>
  <c r="W48" i="17" s="1"/>
  <c r="O52" i="17"/>
  <c r="O17" i="17"/>
  <c r="W17" i="17" s="1"/>
  <c r="O6" i="17"/>
  <c r="W6" i="17" s="1"/>
  <c r="O36" i="17"/>
  <c r="W36" i="17" s="1"/>
  <c r="O21" i="17"/>
  <c r="W21" i="17" s="1"/>
  <c r="O28" i="17"/>
  <c r="W28" i="17" s="1"/>
  <c r="O18" i="17"/>
  <c r="W18" i="17" s="1"/>
  <c r="O20" i="17"/>
  <c r="W20" i="17" s="1"/>
  <c r="O35" i="17"/>
  <c r="W35" i="17" s="1"/>
  <c r="O23" i="17"/>
  <c r="W23" i="17" s="1"/>
  <c r="O41" i="17"/>
  <c r="W41" i="17" s="1"/>
  <c r="O45" i="17"/>
  <c r="W45" i="17" s="1"/>
  <c r="O49" i="17"/>
  <c r="W49" i="17" s="1"/>
  <c r="O50" i="17"/>
  <c r="W50" i="17" s="1"/>
  <c r="O53" i="17"/>
  <c r="W53" i="17" s="1"/>
  <c r="O11" i="17"/>
  <c r="W11" i="17" s="1"/>
  <c r="O33" i="17"/>
  <c r="W33" i="17" s="1"/>
  <c r="O40" i="17"/>
  <c r="W40" i="17" s="1"/>
  <c r="O10" i="17"/>
  <c r="W10" i="17" s="1"/>
  <c r="W8" i="17"/>
  <c r="O26" i="17"/>
  <c r="W26" i="17" s="1"/>
  <c r="O34" i="17"/>
  <c r="W34" i="17" s="1"/>
  <c r="O42" i="17"/>
  <c r="W42" i="17" s="1"/>
  <c r="O46" i="17"/>
  <c r="W46" i="17" s="1"/>
  <c r="O51" i="17"/>
  <c r="W51" i="17" s="1"/>
  <c r="O55" i="17"/>
  <c r="W55" i="17" s="1"/>
  <c r="O24" i="17"/>
  <c r="W24" i="17" s="1"/>
  <c r="O38" i="17"/>
  <c r="W38" i="17" s="1"/>
  <c r="O43" i="17"/>
  <c r="W43" i="17" s="1"/>
  <c r="O12" i="17"/>
  <c r="W12" i="17" s="1"/>
  <c r="L14" i="17"/>
  <c r="O14" i="17" s="1"/>
  <c r="W14" i="17" s="1"/>
  <c r="O15" i="17"/>
  <c r="W15" i="17" s="1"/>
  <c r="W22" i="17"/>
  <c r="O27" i="17"/>
  <c r="W27" i="17" s="1"/>
  <c r="O29" i="17"/>
  <c r="W29" i="17" s="1"/>
  <c r="O47" i="17"/>
  <c r="W47" i="17" s="1"/>
  <c r="W52" i="17"/>
  <c r="O126" i="17"/>
  <c r="W126" i="17" s="1"/>
  <c r="O5" i="17"/>
  <c r="W5" i="17" s="1"/>
  <c r="O7" i="17"/>
  <c r="W7" i="17" s="1"/>
  <c r="O9" i="17"/>
  <c r="W9" i="17" s="1"/>
  <c r="N16" i="17"/>
  <c r="O32" i="17"/>
  <c r="W32" i="17" s="1"/>
  <c r="O44" i="17"/>
  <c r="W44" i="17" s="1"/>
  <c r="T21" i="16"/>
  <c r="AB38" i="16"/>
  <c r="AB40" i="16"/>
  <c r="AB42" i="16"/>
  <c r="T9" i="16"/>
  <c r="AB12" i="16"/>
  <c r="AB41" i="16"/>
  <c r="T17" i="16"/>
  <c r="AB17" i="16" s="1"/>
  <c r="T19" i="16"/>
  <c r="AB19" i="16" s="1"/>
  <c r="T22" i="16"/>
  <c r="AB22" i="16" s="1"/>
  <c r="T24" i="16"/>
  <c r="AB24" i="16" s="1"/>
  <c r="T25" i="16"/>
  <c r="AB25" i="16" s="1"/>
  <c r="T16" i="16"/>
  <c r="AB16" i="16" s="1"/>
  <c r="T27" i="16"/>
  <c r="AB27" i="16" s="1"/>
  <c r="T13" i="16"/>
  <c r="AB13" i="16" s="1"/>
  <c r="T20" i="16"/>
  <c r="AB20" i="16" s="1"/>
  <c r="AB9" i="16"/>
  <c r="AB21" i="16"/>
  <c r="T23" i="16"/>
  <c r="AB23" i="16" s="1"/>
  <c r="T8" i="16"/>
  <c r="AB8" i="16" s="1"/>
  <c r="I11" i="16"/>
  <c r="L14" i="16"/>
  <c r="T14" i="16" s="1"/>
  <c r="AB14" i="16" s="1"/>
  <c r="AB39" i="16"/>
  <c r="W39" i="17"/>
  <c r="O13" i="17"/>
  <c r="O30" i="17"/>
  <c r="W30" i="17" s="1"/>
  <c r="O19" i="17"/>
  <c r="W19" i="17" s="1"/>
  <c r="L31" i="17"/>
  <c r="O31" i="17" s="1"/>
  <c r="W31" i="17" s="1"/>
  <c r="V16" i="17"/>
  <c r="O25" i="17"/>
  <c r="W25" i="17" s="1"/>
  <c r="O37" i="17"/>
  <c r="I10" i="16"/>
  <c r="I18" i="16"/>
  <c r="T26" i="16"/>
  <c r="AB26" i="16" s="1"/>
  <c r="T28" i="16"/>
  <c r="AB28" i="16" s="1"/>
  <c r="AB37" i="16"/>
  <c r="T7" i="16"/>
  <c r="T6" i="16"/>
  <c r="O16" i="17" l="1"/>
  <c r="W16" i="17" s="1"/>
  <c r="T11" i="16"/>
  <c r="AB11" i="16" s="1"/>
  <c r="W37" i="17"/>
  <c r="W13" i="17"/>
  <c r="T18" i="16"/>
  <c r="T10" i="16"/>
  <c r="AB6" i="16"/>
  <c r="AB7" i="16"/>
  <c r="AB18" i="16" l="1"/>
  <c r="AB10" i="16"/>
  <c r="V108" i="15" l="1"/>
  <c r="L108" i="15"/>
  <c r="K108" i="15"/>
  <c r="H108" i="15"/>
  <c r="V93" i="15"/>
  <c r="H93" i="15"/>
  <c r="O93" i="15" s="1"/>
  <c r="V67" i="15"/>
  <c r="L67" i="15"/>
  <c r="J67" i="15"/>
  <c r="H67" i="15"/>
  <c r="V66" i="15"/>
  <c r="L66" i="15"/>
  <c r="H66" i="15"/>
  <c r="V65" i="15"/>
  <c r="L65" i="15"/>
  <c r="J65" i="15"/>
  <c r="H65" i="15"/>
  <c r="V64" i="15"/>
  <c r="L64" i="15"/>
  <c r="J64" i="15"/>
  <c r="H64" i="15"/>
  <c r="V63" i="15"/>
  <c r="L63" i="15"/>
  <c r="J63" i="15"/>
  <c r="H63" i="15"/>
  <c r="V62" i="15"/>
  <c r="L62" i="15"/>
  <c r="H62" i="15"/>
  <c r="V61" i="15"/>
  <c r="L61" i="15"/>
  <c r="J61" i="15"/>
  <c r="H61" i="15"/>
  <c r="V60" i="15"/>
  <c r="L60" i="15"/>
  <c r="J60" i="15"/>
  <c r="H60" i="15"/>
  <c r="V59" i="15"/>
  <c r="L59" i="15"/>
  <c r="J59" i="15"/>
  <c r="H59" i="15"/>
  <c r="V58" i="15"/>
  <c r="L58" i="15"/>
  <c r="J58" i="15"/>
  <c r="H58" i="15"/>
  <c r="V57" i="15"/>
  <c r="L57" i="15"/>
  <c r="J57" i="15"/>
  <c r="H57" i="15"/>
  <c r="A57" i="15"/>
  <c r="V56" i="15"/>
  <c r="L56" i="15"/>
  <c r="H56" i="15"/>
  <c r="V55" i="15"/>
  <c r="L55" i="15"/>
  <c r="K55" i="15"/>
  <c r="I55" i="15"/>
  <c r="H55" i="15"/>
  <c r="V53" i="15"/>
  <c r="L53" i="15"/>
  <c r="K53" i="15"/>
  <c r="H53" i="15"/>
  <c r="V52" i="15"/>
  <c r="L52" i="15"/>
  <c r="K52" i="15"/>
  <c r="H52" i="15"/>
  <c r="V51" i="15"/>
  <c r="L51" i="15"/>
  <c r="H51" i="15"/>
  <c r="V50" i="15"/>
  <c r="L50" i="15"/>
  <c r="H50" i="15"/>
  <c r="V49" i="15"/>
  <c r="L49" i="15"/>
  <c r="H49" i="15"/>
  <c r="V48" i="15"/>
  <c r="L48" i="15"/>
  <c r="K48" i="15"/>
  <c r="H48" i="15"/>
  <c r="V47" i="15"/>
  <c r="L47" i="15"/>
  <c r="H47" i="15"/>
  <c r="V46" i="15"/>
  <c r="L46" i="15"/>
  <c r="K46" i="15"/>
  <c r="H46" i="15"/>
  <c r="V45" i="15"/>
  <c r="L45" i="15"/>
  <c r="K45" i="15"/>
  <c r="H45" i="15"/>
  <c r="V44" i="15"/>
  <c r="L44" i="15"/>
  <c r="K44" i="15"/>
  <c r="H44" i="15"/>
  <c r="V43" i="15"/>
  <c r="L43" i="15"/>
  <c r="H43" i="15"/>
  <c r="V42" i="15"/>
  <c r="L42" i="15"/>
  <c r="K42" i="15"/>
  <c r="H42" i="15"/>
  <c r="V41" i="15"/>
  <c r="L41" i="15"/>
  <c r="H41" i="15"/>
  <c r="V40" i="15"/>
  <c r="L40" i="15"/>
  <c r="K40" i="15"/>
  <c r="H40" i="15"/>
  <c r="V39" i="15"/>
  <c r="L39" i="15"/>
  <c r="H39" i="15"/>
  <c r="V38" i="15"/>
  <c r="L38" i="15"/>
  <c r="H38" i="15"/>
  <c r="V37" i="15"/>
  <c r="L37" i="15"/>
  <c r="H37" i="15"/>
  <c r="V36" i="15"/>
  <c r="L36" i="15"/>
  <c r="H36" i="15"/>
  <c r="V35" i="15"/>
  <c r="L35" i="15"/>
  <c r="H35" i="15"/>
  <c r="V34" i="15"/>
  <c r="L34" i="15"/>
  <c r="H34" i="15"/>
  <c r="V33" i="15"/>
  <c r="L33" i="15"/>
  <c r="K33" i="15"/>
  <c r="H33" i="15"/>
  <c r="V32" i="15"/>
  <c r="L32" i="15"/>
  <c r="H32" i="15"/>
  <c r="Y31" i="15"/>
  <c r="L31" i="15" s="1"/>
  <c r="V31" i="15"/>
  <c r="H31" i="15"/>
  <c r="Y30" i="15"/>
  <c r="L30" i="15" s="1"/>
  <c r="V30" i="15"/>
  <c r="H30" i="15"/>
  <c r="V29" i="15"/>
  <c r="L29" i="15"/>
  <c r="K29" i="15"/>
  <c r="H29" i="15"/>
  <c r="V28" i="15"/>
  <c r="L28" i="15"/>
  <c r="K28" i="15"/>
  <c r="H28" i="15"/>
  <c r="V27" i="15"/>
  <c r="L27" i="15"/>
  <c r="H27" i="15"/>
  <c r="V26" i="15"/>
  <c r="L26" i="15"/>
  <c r="H26" i="15"/>
  <c r="V25" i="15"/>
  <c r="L25" i="15"/>
  <c r="H25" i="15"/>
  <c r="V24" i="15"/>
  <c r="L24" i="15"/>
  <c r="K24" i="15"/>
  <c r="H24" i="15"/>
  <c r="V23" i="15"/>
  <c r="L23" i="15"/>
  <c r="H23" i="15"/>
  <c r="V22" i="15"/>
  <c r="K22" i="15"/>
  <c r="H22" i="15"/>
  <c r="V21" i="15"/>
  <c r="L21" i="15"/>
  <c r="H21" i="15"/>
  <c r="V20" i="15"/>
  <c r="L20" i="15"/>
  <c r="H20" i="15"/>
  <c r="V19" i="15"/>
  <c r="L19" i="15"/>
  <c r="K19" i="15"/>
  <c r="H19" i="15"/>
  <c r="V18" i="15"/>
  <c r="L18" i="15"/>
  <c r="K18" i="15"/>
  <c r="H18" i="15"/>
  <c r="V17" i="15"/>
  <c r="L17" i="15"/>
  <c r="H17" i="15"/>
  <c r="V16" i="15"/>
  <c r="L16" i="15"/>
  <c r="H16" i="15"/>
  <c r="V15" i="15"/>
  <c r="L15" i="15"/>
  <c r="H15" i="15"/>
  <c r="Y14" i="15"/>
  <c r="V14" i="15"/>
  <c r="H14" i="15"/>
  <c r="V13" i="15"/>
  <c r="L13" i="15"/>
  <c r="H13" i="15"/>
  <c r="V12" i="15"/>
  <c r="L12" i="15"/>
  <c r="H12" i="15"/>
  <c r="V11" i="15"/>
  <c r="L11" i="15"/>
  <c r="H11" i="15"/>
  <c r="V10" i="15"/>
  <c r="L10" i="15"/>
  <c r="H10" i="15"/>
  <c r="V9" i="15"/>
  <c r="L9" i="15"/>
  <c r="K9" i="15"/>
  <c r="H9" i="15"/>
  <c r="V8" i="15"/>
  <c r="L8" i="15"/>
  <c r="K8" i="15"/>
  <c r="H8" i="15"/>
  <c r="V7" i="15"/>
  <c r="L7" i="15"/>
  <c r="H7" i="15"/>
  <c r="V6" i="15"/>
  <c r="L6" i="15"/>
  <c r="H6" i="15"/>
  <c r="V5" i="15"/>
  <c r="L5" i="15"/>
  <c r="K5" i="15"/>
  <c r="H5" i="15"/>
  <c r="AA35" i="14"/>
  <c r="T35" i="14"/>
  <c r="I39" i="23" s="1"/>
  <c r="K39" i="23" s="1"/>
  <c r="AA34" i="14"/>
  <c r="T34" i="14"/>
  <c r="I38" i="23" s="1"/>
  <c r="K38" i="23" s="1"/>
  <c r="AA33" i="14"/>
  <c r="T33" i="14"/>
  <c r="I37" i="23" s="1"/>
  <c r="K37" i="23" s="1"/>
  <c r="AA32" i="14"/>
  <c r="T32" i="14"/>
  <c r="I36" i="23" s="1"/>
  <c r="K36" i="23" s="1"/>
  <c r="AA31" i="14"/>
  <c r="T31" i="14"/>
  <c r="I35" i="23" s="1"/>
  <c r="K35" i="23" s="1"/>
  <c r="AA30" i="14"/>
  <c r="T30" i="14"/>
  <c r="I34" i="23" s="1"/>
  <c r="K34" i="23" s="1"/>
  <c r="AA29" i="14"/>
  <c r="T29" i="14"/>
  <c r="I33" i="23" s="1"/>
  <c r="K33" i="23" s="1"/>
  <c r="AA28" i="14"/>
  <c r="O28" i="14"/>
  <c r="L28" i="14"/>
  <c r="H28" i="14"/>
  <c r="AA27" i="14"/>
  <c r="L27" i="14"/>
  <c r="I27" i="14"/>
  <c r="AA26" i="14"/>
  <c r="R26" i="14"/>
  <c r="S26" i="14" s="1"/>
  <c r="O26" i="14"/>
  <c r="L26" i="14"/>
  <c r="H26" i="14"/>
  <c r="I26" i="14" s="1"/>
  <c r="AC25" i="14"/>
  <c r="L25" i="14" s="1"/>
  <c r="AA25" i="14"/>
  <c r="O25" i="14"/>
  <c r="I25" i="14"/>
  <c r="AA24" i="14"/>
  <c r="S24" i="14"/>
  <c r="O24" i="14"/>
  <c r="L24" i="14"/>
  <c r="H24" i="14"/>
  <c r="I24" i="14" s="1"/>
  <c r="AC23" i="14"/>
  <c r="L23" i="14" s="1"/>
  <c r="AA23" i="14"/>
  <c r="I23" i="14"/>
  <c r="G23" i="14"/>
  <c r="AA22" i="14"/>
  <c r="L22" i="14"/>
  <c r="J22" i="14"/>
  <c r="I22" i="14"/>
  <c r="AA21" i="14"/>
  <c r="L21" i="14"/>
  <c r="I21" i="14"/>
  <c r="AA20" i="14"/>
  <c r="S20" i="14"/>
  <c r="O20" i="14"/>
  <c r="L20" i="14"/>
  <c r="H20" i="14"/>
  <c r="I20" i="14" s="1"/>
  <c r="AC19" i="14"/>
  <c r="L19" i="14" s="1"/>
  <c r="AA19" i="14"/>
  <c r="O19" i="14"/>
  <c r="I19" i="14"/>
  <c r="AA18" i="14"/>
  <c r="L18" i="14"/>
  <c r="H18" i="14"/>
  <c r="AA17" i="14"/>
  <c r="L17" i="14"/>
  <c r="I17" i="14"/>
  <c r="AA16" i="14"/>
  <c r="O16" i="14"/>
  <c r="L16" i="14"/>
  <c r="AA15" i="14"/>
  <c r="L15" i="14"/>
  <c r="T15" i="14" s="1"/>
  <c r="AD14" i="14"/>
  <c r="L14" i="14" s="1"/>
  <c r="AA14" i="14"/>
  <c r="I14" i="14"/>
  <c r="AD13" i="14"/>
  <c r="L13" i="14" s="1"/>
  <c r="AA13" i="14"/>
  <c r="I13" i="14"/>
  <c r="G13" i="14"/>
  <c r="AD12" i="14"/>
  <c r="L12" i="14" s="1"/>
  <c r="T12" i="14" s="1"/>
  <c r="AA12" i="14"/>
  <c r="AC11" i="14"/>
  <c r="AA11" i="14"/>
  <c r="J11" i="14"/>
  <c r="H11" i="14"/>
  <c r="AA10" i="14"/>
  <c r="S10" i="14"/>
  <c r="L10" i="14"/>
  <c r="I10" i="14"/>
  <c r="AA9" i="14"/>
  <c r="L9" i="14"/>
  <c r="H9" i="14"/>
  <c r="AA8" i="14"/>
  <c r="L8" i="14"/>
  <c r="I8" i="14"/>
  <c r="AA7" i="14"/>
  <c r="L7" i="14"/>
  <c r="T7" i="14" s="1"/>
  <c r="AA6" i="14"/>
  <c r="L6" i="14"/>
  <c r="J3" i="14"/>
  <c r="I11" i="23" l="1"/>
  <c r="K11" i="23" s="1"/>
  <c r="E11" i="22"/>
  <c r="I11" i="22" s="1"/>
  <c r="K11" i="22" s="1"/>
  <c r="E16" i="22"/>
  <c r="I16" i="22" s="1"/>
  <c r="K16" i="22" s="1"/>
  <c r="I16" i="23"/>
  <c r="K16" i="23" s="1"/>
  <c r="I19" i="23"/>
  <c r="K19" i="23" s="1"/>
  <c r="E19" i="22"/>
  <c r="I19" i="22" s="1"/>
  <c r="K19" i="22" s="1"/>
  <c r="T21" i="14"/>
  <c r="AB21" i="14" s="1"/>
  <c r="AB35" i="14"/>
  <c r="W93" i="15"/>
  <c r="O11" i="15"/>
  <c r="O32" i="15"/>
  <c r="O37" i="15"/>
  <c r="O51" i="15"/>
  <c r="O67" i="15"/>
  <c r="W67" i="15" s="1"/>
  <c r="O61" i="15"/>
  <c r="W61" i="15" s="1"/>
  <c r="O63" i="15"/>
  <c r="W63" i="15" s="1"/>
  <c r="O27" i="15"/>
  <c r="O49" i="15"/>
  <c r="O16" i="15"/>
  <c r="W32" i="15"/>
  <c r="O8" i="15"/>
  <c r="O23" i="15"/>
  <c r="O20" i="15"/>
  <c r="O44" i="15"/>
  <c r="O36" i="15"/>
  <c r="O6" i="15"/>
  <c r="O12" i="15"/>
  <c r="O17" i="15"/>
  <c r="O19" i="15"/>
  <c r="O22" i="15"/>
  <c r="O24" i="15"/>
  <c r="O29" i="15"/>
  <c r="O30" i="15"/>
  <c r="O39" i="15"/>
  <c r="O45" i="15"/>
  <c r="O47" i="15"/>
  <c r="O60" i="15"/>
  <c r="W60" i="15" s="1"/>
  <c r="O5" i="15"/>
  <c r="O7" i="15"/>
  <c r="O10" i="15"/>
  <c r="O35" i="15"/>
  <c r="O43" i="15"/>
  <c r="O53" i="15"/>
  <c r="O56" i="15"/>
  <c r="W56" i="15" s="1"/>
  <c r="O58" i="15"/>
  <c r="W58" i="15" s="1"/>
  <c r="O25" i="15"/>
  <c r="O18" i="15"/>
  <c r="O48" i="15"/>
  <c r="O59" i="15"/>
  <c r="W59" i="15" s="1"/>
  <c r="O64" i="15"/>
  <c r="W64" i="15" s="1"/>
  <c r="O108" i="15"/>
  <c r="W108" i="15" s="1"/>
  <c r="O9" i="15"/>
  <c r="O26" i="15"/>
  <c r="O28" i="15"/>
  <c r="O33" i="15"/>
  <c r="O34" i="15"/>
  <c r="O41" i="15"/>
  <c r="O50" i="15"/>
  <c r="O52" i="15"/>
  <c r="O62" i="15"/>
  <c r="W62" i="15" s="1"/>
  <c r="T27" i="14"/>
  <c r="AB31" i="14"/>
  <c r="T8" i="14"/>
  <c r="AB15" i="14"/>
  <c r="AB32" i="14"/>
  <c r="AB34" i="14"/>
  <c r="T14" i="14"/>
  <c r="T20" i="14"/>
  <c r="AB12" i="14"/>
  <c r="T24" i="14"/>
  <c r="AB30" i="14"/>
  <c r="T10" i="14"/>
  <c r="T17" i="14"/>
  <c r="O23" i="14"/>
  <c r="I11" i="14"/>
  <c r="T19" i="14"/>
  <c r="I28" i="14"/>
  <c r="T28" i="14" s="1"/>
  <c r="T13" i="14"/>
  <c r="I18" i="14"/>
  <c r="T18" i="14" s="1"/>
  <c r="T25" i="14"/>
  <c r="I9" i="14"/>
  <c r="T9" i="14" s="1"/>
  <c r="L11" i="14"/>
  <c r="T22" i="14"/>
  <c r="T26" i="14"/>
  <c r="AB33" i="14"/>
  <c r="O65" i="15"/>
  <c r="W65" i="15" s="1"/>
  <c r="O21" i="15"/>
  <c r="O55" i="15"/>
  <c r="O57" i="15"/>
  <c r="W57" i="15" s="1"/>
  <c r="O38" i="15"/>
  <c r="O13" i="15"/>
  <c r="L14" i="15"/>
  <c r="O15" i="15"/>
  <c r="O31" i="15"/>
  <c r="O40" i="15"/>
  <c r="O42" i="15"/>
  <c r="O46" i="15"/>
  <c r="O66" i="15"/>
  <c r="W66" i="15" s="1"/>
  <c r="AB7" i="14"/>
  <c r="AB29" i="14"/>
  <c r="T6" i="14"/>
  <c r="T16" i="14"/>
  <c r="AB19" i="14" l="1"/>
  <c r="I23" i="23"/>
  <c r="K23" i="23" s="1"/>
  <c r="E23" i="22"/>
  <c r="I23" i="22" s="1"/>
  <c r="K23" i="22" s="1"/>
  <c r="AB22" i="14"/>
  <c r="E26" i="22"/>
  <c r="I26" i="22" s="1"/>
  <c r="K26" i="22" s="1"/>
  <c r="I26" i="23"/>
  <c r="K26" i="23" s="1"/>
  <c r="E20" i="22"/>
  <c r="I20" i="22" s="1"/>
  <c r="K20" i="22" s="1"/>
  <c r="I20" i="23"/>
  <c r="K20" i="23" s="1"/>
  <c r="AB13" i="14"/>
  <c r="E17" i="22"/>
  <c r="I17" i="22" s="1"/>
  <c r="K17" i="22" s="1"/>
  <c r="I17" i="23"/>
  <c r="K17" i="23" s="1"/>
  <c r="AB24" i="14"/>
  <c r="E28" i="22"/>
  <c r="I28" i="22" s="1"/>
  <c r="K28" i="22" s="1"/>
  <c r="I28" i="23"/>
  <c r="K28" i="23" s="1"/>
  <c r="AB14" i="14"/>
  <c r="I18" i="23"/>
  <c r="K18" i="23" s="1"/>
  <c r="E18" i="22"/>
  <c r="I18" i="22" s="1"/>
  <c r="K18" i="22" s="1"/>
  <c r="AB8" i="14"/>
  <c r="E12" i="22"/>
  <c r="I12" i="22" s="1"/>
  <c r="K12" i="22" s="1"/>
  <c r="I12" i="23"/>
  <c r="K12" i="23" s="1"/>
  <c r="I25" i="23"/>
  <c r="K25" i="23" s="1"/>
  <c r="E25" i="22"/>
  <c r="I25" i="22" s="1"/>
  <c r="K25" i="22" s="1"/>
  <c r="AB25" i="14"/>
  <c r="E29" i="22"/>
  <c r="I29" i="22" s="1"/>
  <c r="K29" i="22" s="1"/>
  <c r="I29" i="23"/>
  <c r="K29" i="23" s="1"/>
  <c r="AB10" i="14"/>
  <c r="I14" i="23"/>
  <c r="K14" i="23" s="1"/>
  <c r="E14" i="22"/>
  <c r="I14" i="22" s="1"/>
  <c r="K14" i="22" s="1"/>
  <c r="AB18" i="14"/>
  <c r="E22" i="22"/>
  <c r="I22" i="22" s="1"/>
  <c r="K22" i="22" s="1"/>
  <c r="I22" i="23"/>
  <c r="K22" i="23" s="1"/>
  <c r="AB20" i="14"/>
  <c r="E24" i="22"/>
  <c r="I24" i="22" s="1"/>
  <c r="K24" i="22" s="1"/>
  <c r="I24" i="23"/>
  <c r="K24" i="23" s="1"/>
  <c r="I10" i="23"/>
  <c r="K10" i="23" s="1"/>
  <c r="E10" i="22"/>
  <c r="I10" i="22" s="1"/>
  <c r="K10" i="22" s="1"/>
  <c r="AB9" i="14"/>
  <c r="E13" i="22"/>
  <c r="I13" i="22" s="1"/>
  <c r="K13" i="22" s="1"/>
  <c r="I13" i="23"/>
  <c r="K13" i="23" s="1"/>
  <c r="AB28" i="14"/>
  <c r="I32" i="23"/>
  <c r="K32" i="23" s="1"/>
  <c r="E32" i="22"/>
  <c r="I32" i="22" s="1"/>
  <c r="K32" i="22" s="1"/>
  <c r="AB17" i="14"/>
  <c r="E21" i="22"/>
  <c r="I21" i="22" s="1"/>
  <c r="K21" i="22" s="1"/>
  <c r="I21" i="23"/>
  <c r="K21" i="23" s="1"/>
  <c r="AB26" i="14"/>
  <c r="I30" i="23"/>
  <c r="K30" i="23" s="1"/>
  <c r="E30" i="22"/>
  <c r="I30" i="22" s="1"/>
  <c r="K30" i="22" s="1"/>
  <c r="AB27" i="14"/>
  <c r="E31" i="22"/>
  <c r="I31" i="22" s="1"/>
  <c r="K31" i="22" s="1"/>
  <c r="I31" i="23"/>
  <c r="K31" i="23" s="1"/>
  <c r="W55" i="15"/>
  <c r="W5" i="15"/>
  <c r="W40" i="15"/>
  <c r="W34" i="15"/>
  <c r="W9" i="15"/>
  <c r="W48" i="15"/>
  <c r="W35" i="15"/>
  <c r="W30" i="15"/>
  <c r="W19" i="15"/>
  <c r="W36" i="15"/>
  <c r="W8" i="15"/>
  <c r="W27" i="15"/>
  <c r="W51" i="15"/>
  <c r="W25" i="15"/>
  <c r="W22" i="15"/>
  <c r="W38" i="15"/>
  <c r="W52" i="15"/>
  <c r="W18" i="15"/>
  <c r="W10" i="15"/>
  <c r="W47" i="15"/>
  <c r="W29" i="15"/>
  <c r="W17" i="15"/>
  <c r="W44" i="15"/>
  <c r="W37" i="15"/>
  <c r="W41" i="15"/>
  <c r="W26" i="15"/>
  <c r="W43" i="15"/>
  <c r="W39" i="15"/>
  <c r="W6" i="15"/>
  <c r="W23" i="15"/>
  <c r="W49" i="15"/>
  <c r="W31" i="15"/>
  <c r="W33" i="15"/>
  <c r="W46" i="15"/>
  <c r="W15" i="15"/>
  <c r="W50" i="15"/>
  <c r="W28" i="15"/>
  <c r="W11" i="15"/>
  <c r="W53" i="15"/>
  <c r="W7" i="15"/>
  <c r="W45" i="15"/>
  <c r="W24" i="15"/>
  <c r="W12" i="15"/>
  <c r="W20" i="15"/>
  <c r="W16" i="15"/>
  <c r="T23" i="14"/>
  <c r="T11" i="14"/>
  <c r="O14" i="15"/>
  <c r="W13" i="15"/>
  <c r="W21" i="15"/>
  <c r="W42" i="15"/>
  <c r="AB16" i="14"/>
  <c r="AB6" i="14"/>
  <c r="AB23" i="14" l="1"/>
  <c r="I27" i="23"/>
  <c r="K27" i="23" s="1"/>
  <c r="E27" i="22"/>
  <c r="I27" i="22" s="1"/>
  <c r="K27" i="22" s="1"/>
  <c r="I15" i="23"/>
  <c r="K15" i="23" s="1"/>
  <c r="E15" i="22"/>
  <c r="I15" i="22" s="1"/>
  <c r="K15" i="22" s="1"/>
  <c r="W14" i="15"/>
  <c r="AB11" i="14"/>
  <c r="V98" i="12" l="1"/>
  <c r="H98" i="12"/>
  <c r="O98" i="12" s="1"/>
  <c r="W98" i="12" s="1"/>
  <c r="V67" i="12"/>
  <c r="L67" i="12"/>
  <c r="J67" i="12"/>
  <c r="I67" i="12"/>
  <c r="H67" i="12"/>
  <c r="V66" i="12"/>
  <c r="I66" i="12"/>
  <c r="H66" i="12"/>
  <c r="O66" i="12" s="1"/>
  <c r="V65" i="12"/>
  <c r="L65" i="12"/>
  <c r="J65" i="12"/>
  <c r="I65" i="12"/>
  <c r="H65" i="12"/>
  <c r="V64" i="12"/>
  <c r="L64" i="12"/>
  <c r="J64" i="12"/>
  <c r="I64" i="12"/>
  <c r="H64" i="12"/>
  <c r="V63" i="12"/>
  <c r="L63" i="12"/>
  <c r="J63" i="12"/>
  <c r="I63" i="12"/>
  <c r="H63" i="12"/>
  <c r="V62" i="12"/>
  <c r="L62" i="12"/>
  <c r="I62" i="12"/>
  <c r="H62" i="12"/>
  <c r="V61" i="12"/>
  <c r="L61" i="12"/>
  <c r="J61" i="12"/>
  <c r="I61" i="12"/>
  <c r="H61" i="12"/>
  <c r="V60" i="12"/>
  <c r="L60" i="12"/>
  <c r="J60" i="12"/>
  <c r="I60" i="12"/>
  <c r="H60" i="12"/>
  <c r="V59" i="12"/>
  <c r="L59" i="12"/>
  <c r="J59" i="12"/>
  <c r="I59" i="12"/>
  <c r="H59" i="12"/>
  <c r="V58" i="12"/>
  <c r="L58" i="12"/>
  <c r="J58" i="12"/>
  <c r="I58" i="12"/>
  <c r="H58" i="12"/>
  <c r="V57" i="12"/>
  <c r="L57" i="12"/>
  <c r="J57" i="12"/>
  <c r="I57" i="12"/>
  <c r="H57" i="12"/>
  <c r="V56" i="12"/>
  <c r="L56" i="12"/>
  <c r="I56" i="12"/>
  <c r="H56" i="12"/>
  <c r="V55" i="12"/>
  <c r="I55" i="12"/>
  <c r="H55" i="12"/>
  <c r="V53" i="12"/>
  <c r="I53" i="12"/>
  <c r="H53" i="12"/>
  <c r="V52" i="12"/>
  <c r="I52" i="12"/>
  <c r="H52" i="12"/>
  <c r="V51" i="12"/>
  <c r="I51" i="12"/>
  <c r="H51" i="12"/>
  <c r="V50" i="12"/>
  <c r="I50" i="12"/>
  <c r="H50" i="12"/>
  <c r="V49" i="12"/>
  <c r="I49" i="12"/>
  <c r="H49" i="12"/>
  <c r="V48" i="12"/>
  <c r="K48" i="12"/>
  <c r="J48" i="12"/>
  <c r="I48" i="12"/>
  <c r="H48" i="12"/>
  <c r="V47" i="12"/>
  <c r="K47" i="12"/>
  <c r="I47" i="12"/>
  <c r="H47" i="12"/>
  <c r="V46" i="12"/>
  <c r="I46" i="12"/>
  <c r="H46" i="12"/>
  <c r="V45" i="12"/>
  <c r="I45" i="12"/>
  <c r="H45" i="12"/>
  <c r="V44" i="12"/>
  <c r="I44" i="12"/>
  <c r="H44" i="12"/>
  <c r="V43" i="12"/>
  <c r="K43" i="12"/>
  <c r="I43" i="12"/>
  <c r="H43" i="12"/>
  <c r="V42" i="12"/>
  <c r="I42" i="12"/>
  <c r="H42" i="12"/>
  <c r="V41" i="12"/>
  <c r="I41" i="12"/>
  <c r="H41" i="12"/>
  <c r="V40" i="12"/>
  <c r="K40" i="12"/>
  <c r="I40" i="12"/>
  <c r="H40" i="12"/>
  <c r="V39" i="12"/>
  <c r="I39" i="12"/>
  <c r="H39" i="12"/>
  <c r="V38" i="12"/>
  <c r="H38" i="12"/>
  <c r="O38" i="12" s="1"/>
  <c r="V37" i="12"/>
  <c r="I37" i="12"/>
  <c r="H37" i="12"/>
  <c r="V36" i="12"/>
  <c r="I36" i="12"/>
  <c r="H36" i="12"/>
  <c r="Y35" i="12"/>
  <c r="V35" i="12"/>
  <c r="I35" i="12"/>
  <c r="H35" i="12"/>
  <c r="Y34" i="12"/>
  <c r="V34" i="12"/>
  <c r="I34" i="12"/>
  <c r="H34" i="12"/>
  <c r="V33" i="12"/>
  <c r="K33" i="12"/>
  <c r="I33" i="12"/>
  <c r="H33" i="12"/>
  <c r="V32" i="12"/>
  <c r="I32" i="12"/>
  <c r="H32" i="12"/>
  <c r="Y31" i="12"/>
  <c r="V31" i="12"/>
  <c r="I31" i="12"/>
  <c r="H31" i="12"/>
  <c r="V30" i="12"/>
  <c r="N30" i="12"/>
  <c r="I30" i="12"/>
  <c r="H30" i="12"/>
  <c r="V29" i="12"/>
  <c r="I29" i="12"/>
  <c r="H29" i="12"/>
  <c r="V28" i="12"/>
  <c r="K28" i="12"/>
  <c r="I28" i="12"/>
  <c r="H28" i="12"/>
  <c r="V27" i="12"/>
  <c r="I27" i="12"/>
  <c r="H27" i="12"/>
  <c r="V26" i="12"/>
  <c r="I26" i="12"/>
  <c r="H26" i="12"/>
  <c r="V25" i="12"/>
  <c r="I25" i="12"/>
  <c r="H25" i="12"/>
  <c r="V24" i="12"/>
  <c r="K24" i="12"/>
  <c r="I24" i="12"/>
  <c r="H24" i="12"/>
  <c r="V23" i="12"/>
  <c r="I23" i="12"/>
  <c r="H23" i="12"/>
  <c r="V22" i="12"/>
  <c r="I22" i="12"/>
  <c r="H22" i="12"/>
  <c r="V21" i="12"/>
  <c r="I21" i="12"/>
  <c r="H21" i="12"/>
  <c r="V20" i="12"/>
  <c r="I20" i="12"/>
  <c r="H20" i="12"/>
  <c r="V19" i="12"/>
  <c r="I19" i="12"/>
  <c r="H19" i="12"/>
  <c r="V18" i="12"/>
  <c r="K18" i="12"/>
  <c r="I18" i="12"/>
  <c r="H18" i="12"/>
  <c r="V17" i="12"/>
  <c r="I17" i="12"/>
  <c r="H17" i="12"/>
  <c r="V16" i="12"/>
  <c r="K16" i="12"/>
  <c r="I16" i="12"/>
  <c r="H16" i="12"/>
  <c r="V15" i="12"/>
  <c r="I15" i="12"/>
  <c r="H15" i="12"/>
  <c r="V14" i="12"/>
  <c r="I14" i="12"/>
  <c r="H14" i="12"/>
  <c r="V13" i="12"/>
  <c r="I13" i="12"/>
  <c r="H13" i="12"/>
  <c r="V11" i="12"/>
  <c r="I11" i="12"/>
  <c r="H11" i="12"/>
  <c r="V10" i="12"/>
  <c r="I10" i="12"/>
  <c r="H10" i="12"/>
  <c r="V9" i="12"/>
  <c r="I9" i="12"/>
  <c r="H9" i="12"/>
  <c r="V8" i="12"/>
  <c r="L8" i="12"/>
  <c r="I8" i="12"/>
  <c r="H8" i="12"/>
  <c r="V7" i="12"/>
  <c r="I7" i="12"/>
  <c r="H7" i="12"/>
  <c r="V6" i="12"/>
  <c r="I6" i="12"/>
  <c r="H6" i="12"/>
  <c r="V5" i="12"/>
  <c r="I5" i="12"/>
  <c r="H5" i="12"/>
  <c r="AA35" i="11"/>
  <c r="K35" i="11"/>
  <c r="T35" i="11" s="1"/>
  <c r="AA34" i="11"/>
  <c r="K34" i="11"/>
  <c r="T34" i="11" s="1"/>
  <c r="AA33" i="11"/>
  <c r="K33" i="11"/>
  <c r="T33" i="11" s="1"/>
  <c r="AA32" i="11"/>
  <c r="K32" i="11"/>
  <c r="T32" i="11" s="1"/>
  <c r="AA31" i="11"/>
  <c r="K31" i="11"/>
  <c r="T31" i="11" s="1"/>
  <c r="AA30" i="11"/>
  <c r="K30" i="11"/>
  <c r="T30" i="11" s="1"/>
  <c r="AA29" i="11"/>
  <c r="K29" i="11"/>
  <c r="T29" i="11" s="1"/>
  <c r="AA28" i="11"/>
  <c r="L28" i="11"/>
  <c r="K28" i="11"/>
  <c r="H28" i="11"/>
  <c r="I28" i="11" s="1"/>
  <c r="AA27" i="11"/>
  <c r="L27" i="11"/>
  <c r="K27" i="11"/>
  <c r="H27" i="11"/>
  <c r="AA26" i="11"/>
  <c r="R26" i="11"/>
  <c r="L26" i="11"/>
  <c r="K26" i="11"/>
  <c r="H26" i="11"/>
  <c r="I26" i="11" s="1"/>
  <c r="AC25" i="11"/>
  <c r="L25" i="11" s="1"/>
  <c r="AA25" i="11"/>
  <c r="K25" i="11"/>
  <c r="H25" i="11"/>
  <c r="I25" i="11" s="1"/>
  <c r="AA24" i="11"/>
  <c r="S24" i="11"/>
  <c r="L24" i="11"/>
  <c r="K24" i="11"/>
  <c r="I24" i="11"/>
  <c r="AC23" i="11"/>
  <c r="L23" i="11" s="1"/>
  <c r="AA23" i="11"/>
  <c r="G23" i="11"/>
  <c r="AA22" i="11"/>
  <c r="L22" i="11"/>
  <c r="K22" i="11"/>
  <c r="J22" i="11"/>
  <c r="H22" i="11"/>
  <c r="AA21" i="11"/>
  <c r="L21" i="11"/>
  <c r="K21" i="11"/>
  <c r="H21" i="11"/>
  <c r="I21" i="11" s="1"/>
  <c r="AA20" i="11"/>
  <c r="S20" i="11"/>
  <c r="L20" i="11"/>
  <c r="K20" i="11"/>
  <c r="I20" i="11"/>
  <c r="AC19" i="11"/>
  <c r="L19" i="11" s="1"/>
  <c r="AA19" i="11"/>
  <c r="K19" i="11"/>
  <c r="H19" i="11"/>
  <c r="AA18" i="11"/>
  <c r="L18" i="11"/>
  <c r="K18" i="11"/>
  <c r="H18" i="11"/>
  <c r="AA17" i="11"/>
  <c r="L17" i="11"/>
  <c r="K17" i="11"/>
  <c r="H17" i="11"/>
  <c r="AA16" i="11"/>
  <c r="L16" i="11"/>
  <c r="K16" i="11"/>
  <c r="AA15" i="11"/>
  <c r="K15" i="11"/>
  <c r="T15" i="11" s="1"/>
  <c r="AA14" i="11"/>
  <c r="K14" i="11"/>
  <c r="H14" i="11"/>
  <c r="AA13" i="11"/>
  <c r="I13" i="11"/>
  <c r="G13" i="11"/>
  <c r="K13" i="11" s="1"/>
  <c r="AA12" i="11"/>
  <c r="K12" i="11"/>
  <c r="T12" i="11" s="1"/>
  <c r="AC11" i="11"/>
  <c r="AA11" i="11"/>
  <c r="K11" i="11"/>
  <c r="J11" i="11"/>
  <c r="H11" i="11"/>
  <c r="AA10" i="11"/>
  <c r="S10" i="11"/>
  <c r="L10" i="11"/>
  <c r="K10" i="11"/>
  <c r="I10" i="11"/>
  <c r="AA9" i="11"/>
  <c r="L9" i="11"/>
  <c r="K9" i="11"/>
  <c r="H9" i="11"/>
  <c r="I9" i="11" s="1"/>
  <c r="AA8" i="11"/>
  <c r="L8" i="11"/>
  <c r="K8" i="11"/>
  <c r="I8" i="11"/>
  <c r="AA7" i="11"/>
  <c r="L7" i="11"/>
  <c r="K7" i="11"/>
  <c r="AA6" i="11"/>
  <c r="L6" i="11"/>
  <c r="K6" i="11"/>
  <c r="J3" i="11"/>
  <c r="O14" i="12" l="1"/>
  <c r="O20" i="12"/>
  <c r="AB30" i="11"/>
  <c r="AB32" i="11"/>
  <c r="AB34" i="11"/>
  <c r="O26" i="12"/>
  <c r="O34" i="12"/>
  <c r="O36" i="12"/>
  <c r="O45" i="12"/>
  <c r="O64" i="12"/>
  <c r="W64" i="12" s="1"/>
  <c r="O44" i="12"/>
  <c r="O51" i="12"/>
  <c r="O53" i="12"/>
  <c r="O11" i="12"/>
  <c r="O17" i="12"/>
  <c r="W38" i="12"/>
  <c r="O41" i="12"/>
  <c r="W26" i="12"/>
  <c r="W34" i="12"/>
  <c r="W36" i="12"/>
  <c r="O23" i="12"/>
  <c r="O25" i="12"/>
  <c r="O39" i="12"/>
  <c r="W51" i="12"/>
  <c r="O5" i="12"/>
  <c r="O10" i="12"/>
  <c r="O15" i="12"/>
  <c r="O21" i="12"/>
  <c r="O22" i="12"/>
  <c r="O29" i="12"/>
  <c r="O18" i="12"/>
  <c r="O33" i="12"/>
  <c r="O62" i="12"/>
  <c r="W62" i="12" s="1"/>
  <c r="O32" i="12"/>
  <c r="O27" i="12"/>
  <c r="O46" i="12"/>
  <c r="O55" i="12"/>
  <c r="O6" i="12"/>
  <c r="O28" i="12"/>
  <c r="O30" i="12"/>
  <c r="O35" i="12"/>
  <c r="O61" i="12"/>
  <c r="W61" i="12" s="1"/>
  <c r="O67" i="12"/>
  <c r="W67" i="12" s="1"/>
  <c r="O8" i="12"/>
  <c r="W14" i="12"/>
  <c r="O16" i="12"/>
  <c r="O40" i="12"/>
  <c r="O47" i="12"/>
  <c r="O58" i="12"/>
  <c r="W58" i="12" s="1"/>
  <c r="W66" i="12"/>
  <c r="O9" i="12"/>
  <c r="O31" i="12"/>
  <c r="O42" i="12"/>
  <c r="O49" i="12"/>
  <c r="O50" i="12"/>
  <c r="O52" i="12"/>
  <c r="O59" i="12"/>
  <c r="W59" i="12" s="1"/>
  <c r="T6" i="11"/>
  <c r="T7" i="11"/>
  <c r="T8" i="11"/>
  <c r="I17" i="11"/>
  <c r="T17" i="11" s="1"/>
  <c r="K23" i="11"/>
  <c r="T24" i="11"/>
  <c r="I19" i="11"/>
  <c r="T19" i="11" s="1"/>
  <c r="T20" i="11"/>
  <c r="I27" i="11"/>
  <c r="T27" i="11" s="1"/>
  <c r="T9" i="11"/>
  <c r="T13" i="11"/>
  <c r="T21" i="11"/>
  <c r="S26" i="11"/>
  <c r="T26" i="11" s="1"/>
  <c r="AB31" i="11"/>
  <c r="AB33" i="11"/>
  <c r="AB35" i="11"/>
  <c r="O13" i="12"/>
  <c r="O37" i="12"/>
  <c r="O48" i="12"/>
  <c r="O19" i="12"/>
  <c r="W20" i="12"/>
  <c r="O24" i="12"/>
  <c r="O56" i="12"/>
  <c r="O57" i="12"/>
  <c r="W57" i="12" s="1"/>
  <c r="O65" i="12"/>
  <c r="W65" i="12" s="1"/>
  <c r="O7" i="12"/>
  <c r="O43" i="12"/>
  <c r="O60" i="12"/>
  <c r="W60" i="12" s="1"/>
  <c r="O63" i="12"/>
  <c r="W63" i="12" s="1"/>
  <c r="AB29" i="11"/>
  <c r="T25" i="11"/>
  <c r="T16" i="11"/>
  <c r="T28" i="11"/>
  <c r="T10" i="11"/>
  <c r="I11" i="11"/>
  <c r="T11" i="11" s="1"/>
  <c r="I18" i="11"/>
  <c r="H23" i="11"/>
  <c r="I23" i="11" s="1"/>
  <c r="S23" i="11"/>
  <c r="I14" i="11"/>
  <c r="T14" i="11" s="1"/>
  <c r="I22" i="11"/>
  <c r="T22" i="11" s="1"/>
  <c r="W19" i="12" l="1"/>
  <c r="W42" i="12"/>
  <c r="W32" i="12"/>
  <c r="W15" i="12"/>
  <c r="W39" i="12"/>
  <c r="W52" i="12"/>
  <c r="W47" i="12"/>
  <c r="W8" i="12"/>
  <c r="W46" i="12"/>
  <c r="W29" i="12"/>
  <c r="W10" i="12"/>
  <c r="W25" i="12"/>
  <c r="W11" i="12"/>
  <c r="W7" i="12"/>
  <c r="W50" i="12"/>
  <c r="W9" i="12"/>
  <c r="W40" i="12"/>
  <c r="W28" i="12"/>
  <c r="W44" i="12"/>
  <c r="W22" i="12"/>
  <c r="W5" i="12"/>
  <c r="W23" i="12"/>
  <c r="W41" i="12"/>
  <c r="W53" i="12"/>
  <c r="W45" i="12"/>
  <c r="W35" i="12"/>
  <c r="W18" i="12"/>
  <c r="W43" i="12"/>
  <c r="W48" i="12"/>
  <c r="W31" i="12"/>
  <c r="W30" i="12"/>
  <c r="W17" i="12"/>
  <c r="W49" i="12"/>
  <c r="W16" i="12"/>
  <c r="W6" i="12"/>
  <c r="W27" i="12"/>
  <c r="W33" i="12"/>
  <c r="W55" i="12"/>
  <c r="W21" i="12"/>
  <c r="T23" i="11"/>
  <c r="W13" i="12"/>
  <c r="W56" i="12"/>
  <c r="W68" i="12" s="1"/>
  <c r="W37" i="12"/>
  <c r="W24" i="12"/>
  <c r="T18" i="11"/>
  <c r="V98" i="10" l="1"/>
  <c r="H98" i="10"/>
  <c r="O98" i="10" s="1"/>
  <c r="W98" i="10" s="1"/>
  <c r="V67" i="10"/>
  <c r="L67" i="10"/>
  <c r="J67" i="10"/>
  <c r="H67" i="10"/>
  <c r="V66" i="10"/>
  <c r="H66" i="10"/>
  <c r="O66" i="10" s="1"/>
  <c r="V65" i="10"/>
  <c r="M65" i="10"/>
  <c r="L65" i="10"/>
  <c r="J65" i="10"/>
  <c r="H65" i="10"/>
  <c r="V64" i="10"/>
  <c r="L64" i="10"/>
  <c r="J64" i="10"/>
  <c r="H64" i="10"/>
  <c r="V63" i="10"/>
  <c r="L63" i="10"/>
  <c r="J63" i="10"/>
  <c r="H63" i="10"/>
  <c r="V62" i="10"/>
  <c r="L62" i="10"/>
  <c r="H62" i="10"/>
  <c r="V61" i="10"/>
  <c r="M61" i="10"/>
  <c r="L61" i="10"/>
  <c r="J61" i="10"/>
  <c r="H61" i="10"/>
  <c r="V60" i="10"/>
  <c r="L60" i="10"/>
  <c r="J60" i="10"/>
  <c r="H60" i="10"/>
  <c r="V59" i="10"/>
  <c r="L59" i="10"/>
  <c r="J59" i="10"/>
  <c r="H59" i="10"/>
  <c r="V58" i="10"/>
  <c r="L58" i="10"/>
  <c r="J58" i="10"/>
  <c r="H58" i="10"/>
  <c r="V57" i="10"/>
  <c r="L57" i="10"/>
  <c r="J57" i="10"/>
  <c r="H57" i="10"/>
  <c r="V56" i="10"/>
  <c r="L56" i="10"/>
  <c r="H56" i="10"/>
  <c r="Y34" i="10"/>
  <c r="Y27" i="10"/>
  <c r="Y17" i="10"/>
  <c r="AA28" i="8"/>
  <c r="L28" i="8"/>
  <c r="H28" i="8"/>
  <c r="I28" i="8" s="1"/>
  <c r="AA27" i="8"/>
  <c r="L27" i="8"/>
  <c r="I27" i="8"/>
  <c r="AA26" i="8"/>
  <c r="L26" i="8"/>
  <c r="H26" i="8"/>
  <c r="I26" i="8" s="1"/>
  <c r="AC25" i="8"/>
  <c r="L25" i="8" s="1"/>
  <c r="AA25" i="8"/>
  <c r="I25" i="8"/>
  <c r="AA24" i="8"/>
  <c r="S24" i="8"/>
  <c r="L24" i="8"/>
  <c r="I24" i="8"/>
  <c r="AC23" i="8"/>
  <c r="L23" i="8" s="1"/>
  <c r="AA23" i="8"/>
  <c r="G23" i="8"/>
  <c r="AA22" i="8"/>
  <c r="L22" i="8"/>
  <c r="J22" i="8"/>
  <c r="AA21" i="8"/>
  <c r="L21" i="8"/>
  <c r="I21" i="8"/>
  <c r="AA20" i="8"/>
  <c r="S20" i="8"/>
  <c r="L20" i="8"/>
  <c r="I20" i="8"/>
  <c r="AC19" i="8"/>
  <c r="AA19" i="8"/>
  <c r="I19" i="8"/>
  <c r="AA18" i="8"/>
  <c r="L18" i="8"/>
  <c r="H18" i="8"/>
  <c r="I18" i="8" s="1"/>
  <c r="AA17" i="8"/>
  <c r="L17" i="8"/>
  <c r="I17" i="8"/>
  <c r="AA16" i="8"/>
  <c r="L16" i="8"/>
  <c r="T16" i="8" s="1"/>
  <c r="AA15" i="8"/>
  <c r="T15" i="8"/>
  <c r="AA14" i="8"/>
  <c r="H14" i="8"/>
  <c r="AA13" i="8"/>
  <c r="I13" i="8"/>
  <c r="G13" i="8"/>
  <c r="AA12" i="8"/>
  <c r="T12" i="8"/>
  <c r="AC11" i="8"/>
  <c r="AA11" i="8"/>
  <c r="J11" i="8"/>
  <c r="I11" i="8"/>
  <c r="AA10" i="8"/>
  <c r="S10" i="8"/>
  <c r="L10" i="8"/>
  <c r="I10" i="8"/>
  <c r="AA9" i="8"/>
  <c r="L9" i="8"/>
  <c r="H9" i="8"/>
  <c r="AA8" i="8"/>
  <c r="L8" i="8"/>
  <c r="I8" i="8"/>
  <c r="AA7" i="8"/>
  <c r="L7" i="8"/>
  <c r="T7" i="8" s="1"/>
  <c r="AA6" i="8"/>
  <c r="L6" i="8"/>
  <c r="J3" i="8"/>
  <c r="W66" i="10" l="1"/>
  <c r="O56" i="10"/>
  <c r="O62" i="10"/>
  <c r="O64" i="10"/>
  <c r="O60" i="10"/>
  <c r="O57" i="10"/>
  <c r="O58" i="10"/>
  <c r="O61" i="10"/>
  <c r="O59" i="10"/>
  <c r="O67" i="10"/>
  <c r="O63" i="10"/>
  <c r="O65" i="10"/>
  <c r="AB15" i="8"/>
  <c r="T17" i="8"/>
  <c r="T18" i="8"/>
  <c r="T8" i="8"/>
  <c r="T26" i="8"/>
  <c r="AB12" i="8"/>
  <c r="T24" i="8"/>
  <c r="T6" i="8"/>
  <c r="T21" i="8"/>
  <c r="T13" i="8"/>
  <c r="T28" i="8"/>
  <c r="H23" i="8"/>
  <c r="I23" i="8" s="1"/>
  <c r="I9" i="8"/>
  <c r="T10" i="8"/>
  <c r="L19" i="8"/>
  <c r="T20" i="8"/>
  <c r="T22" i="8"/>
  <c r="T25" i="8"/>
  <c r="T27" i="8"/>
  <c r="AB16" i="8"/>
  <c r="AB7" i="8"/>
  <c r="T11" i="8"/>
  <c r="I14" i="8"/>
  <c r="T14" i="8" s="1"/>
  <c r="AB14" i="8" l="1"/>
  <c r="AB27" i="8"/>
  <c r="AB28" i="8"/>
  <c r="AB24" i="8"/>
  <c r="AB18" i="8"/>
  <c r="AB25" i="8"/>
  <c r="AB13" i="8"/>
  <c r="AB17" i="8"/>
  <c r="AB22" i="8"/>
  <c r="AB21" i="8"/>
  <c r="AB26" i="8"/>
  <c r="AB20" i="8"/>
  <c r="AB8" i="8"/>
  <c r="W56" i="10"/>
  <c r="W63" i="10"/>
  <c r="W58" i="10"/>
  <c r="W62" i="10"/>
  <c r="W67" i="10"/>
  <c r="W57" i="10"/>
  <c r="W59" i="10"/>
  <c r="W60" i="10"/>
  <c r="W65" i="10"/>
  <c r="W61" i="10"/>
  <c r="W64" i="10"/>
  <c r="W68" i="10"/>
  <c r="T9" i="8"/>
  <c r="AB6" i="8"/>
  <c r="AB10" i="8"/>
  <c r="T23" i="8"/>
  <c r="T19" i="8"/>
  <c r="AB11" i="8"/>
  <c r="AB19" i="8" l="1"/>
  <c r="AB9" i="8"/>
  <c r="AB23" i="8"/>
</calcChain>
</file>

<file path=xl/sharedStrings.xml><?xml version="1.0" encoding="utf-8"?>
<sst xmlns="http://schemas.openxmlformats.org/spreadsheetml/2006/main" count="4199" uniqueCount="311">
  <si>
    <t>No.</t>
  </si>
  <si>
    <t>ISPT</t>
  </si>
  <si>
    <t>ADMINISTRATIVA</t>
  </si>
  <si>
    <t>SINDICALIZADO</t>
  </si>
  <si>
    <t>JEFE DE DPTO. ASUNTOS ADMINSTRATIVOS</t>
  </si>
  <si>
    <t>MARTHA ESCOBEDO LOPEZ</t>
  </si>
  <si>
    <t>COMERCIAL</t>
  </si>
  <si>
    <t>GERENTE COMERCIAL</t>
  </si>
  <si>
    <t>IVONE JANET MARTINEZ VELAZQUEZ</t>
  </si>
  <si>
    <t>CAJERA</t>
  </si>
  <si>
    <t>ADRIANA VERONICA FARIAS AGUIÑAGA</t>
  </si>
  <si>
    <t>CONTABILIDAD</t>
  </si>
  <si>
    <t>AUX. ADMINISTRATIVA</t>
  </si>
  <si>
    <t>JULIA MEJIA FAVELA</t>
  </si>
  <si>
    <t>CUPE</t>
  </si>
  <si>
    <t>SUPERVISOR</t>
  </si>
  <si>
    <t>SERGIO SALDANA GOMEZ</t>
  </si>
  <si>
    <t>NOTIFICADOR</t>
  </si>
  <si>
    <t>JAIME ALVARADO ADAME</t>
  </si>
  <si>
    <t>HECTOR ALFREDO DEL VAL FACCUSEH</t>
  </si>
  <si>
    <t>BASE</t>
  </si>
  <si>
    <t>GERARDO FABELA ALVA</t>
  </si>
  <si>
    <t>IVAN HERNANDEZ MADRID</t>
  </si>
  <si>
    <t>SISTEMAS</t>
  </si>
  <si>
    <t>TECNICA</t>
  </si>
  <si>
    <t>VELADOR</t>
  </si>
  <si>
    <t>EDUARDO GONZALEZ DELGADO</t>
  </si>
  <si>
    <t>ENRIQUE CALVILLO GALVAN</t>
  </si>
  <si>
    <t>JEFE DE DPTO. ALMACEN GENERAL</t>
  </si>
  <si>
    <t>PEDRO ANTONIO TREVIÑO RICO</t>
  </si>
  <si>
    <t>FONTANERO</t>
  </si>
  <si>
    <t>FERNANDO MARTINEZ AVILA</t>
  </si>
  <si>
    <t>JUAN VELAZQUEZ ESQUIVEL</t>
  </si>
  <si>
    <t>ENCARGADO DE AREA FONTANEROS</t>
  </si>
  <si>
    <t>ENRIQUE SCHUMM ESCOBEDO</t>
  </si>
  <si>
    <t>EFREN ARGUIJO RAMIREZ</t>
  </si>
  <si>
    <t>RAUL GONZALEZ VILLAGRANA</t>
  </si>
  <si>
    <t>JESUS FAVELA ORTIZ</t>
  </si>
  <si>
    <t>SERGIO CEBALLOS FARIAS</t>
  </si>
  <si>
    <t>JEFE DE DPTO. ASUNTOS OPERATIVOS</t>
  </si>
  <si>
    <t>JOSE LUIS ADAME JASSO</t>
  </si>
  <si>
    <t>MAGDALENO ADRIANO ROCHA</t>
  </si>
  <si>
    <t xml:space="preserve">JEFE DE DPTO. ASUNTOS TECNICOS </t>
  </si>
  <si>
    <t>MAYELA DE JESUS VALERIO DAVILA</t>
  </si>
  <si>
    <t>COYOTE</t>
  </si>
  <si>
    <t>OPERADOR HIDRO</t>
  </si>
  <si>
    <t>FIDEL ANTUNEZ PEREZ</t>
  </si>
  <si>
    <t>RAFAEL MARTINEZ MOTA</t>
  </si>
  <si>
    <t>JUAN MANUEL LOPEZ RODRIGUEZ</t>
  </si>
  <si>
    <t>FERNANDO CAMPIRANO REYES</t>
  </si>
  <si>
    <t>AUX. TECNICO</t>
  </si>
  <si>
    <t>VICTOR LOPEZ RODRIGUEZ</t>
  </si>
  <si>
    <t>AUX. ADMINISTRATIVO</t>
  </si>
  <si>
    <t>VICTOR HERNANDEZ SALAZAR</t>
  </si>
  <si>
    <t>MAR IVONNE SANCHEZ CHAVARRIA</t>
  </si>
  <si>
    <t>TOTAL DE PERCEPCIONES</t>
  </si>
  <si>
    <t>imss</t>
  </si>
  <si>
    <t>ADMINISTRACION</t>
  </si>
  <si>
    <t>EVENTUAL</t>
  </si>
  <si>
    <t>MA DE LOS ANGELES ARELLANO ESCOBEDO</t>
  </si>
  <si>
    <t>INTENDENTE</t>
  </si>
  <si>
    <t>NORMA HILDA ESCAREÑO FLORES</t>
  </si>
  <si>
    <t>ENCARGADO DEL AREA RECURSOS MATERIALES</t>
  </si>
  <si>
    <t>PABLO ROBERTO DERAS MONTOYA</t>
  </si>
  <si>
    <t>LUIS ALBERTO MARTINEZ CHAVEZ</t>
  </si>
  <si>
    <t>JEFE DE DEPARTAMNETO RECURSOS HUMANOS</t>
  </si>
  <si>
    <t>JOSE AYUP BARKER</t>
  </si>
  <si>
    <t>CONFIANZA</t>
  </si>
  <si>
    <t>GERENTE ADMINISTRATIVO</t>
  </si>
  <si>
    <t>FERNANDO CASTAÑEDA LIMONES</t>
  </si>
  <si>
    <t>ENCARGADO DEL AREA COBRNAZA</t>
  </si>
  <si>
    <t>LUIS FERREL LICERIO LUEVANO</t>
  </si>
  <si>
    <t>LUIS ANGEL CARRILLO HUERTA</t>
  </si>
  <si>
    <t>ENCARGADO DEL AREA PADRONES</t>
  </si>
  <si>
    <t>JOSE AYUP DEL BOSQUE</t>
  </si>
  <si>
    <t>JEFE DE DEPARTAMENTO</t>
  </si>
  <si>
    <t>RODOLFO AYUP GUERRERO</t>
  </si>
  <si>
    <t>PEDRO JUAREZ GARCIA.</t>
  </si>
  <si>
    <t>AUX. COMERCIAL</t>
  </si>
  <si>
    <t>PAMELA IVONNE ESCOBEDO FIERRO</t>
  </si>
  <si>
    <t>ROSAVELIA HERNANDEZ LOPEZ</t>
  </si>
  <si>
    <t>MARIO ELIHEL SANCHEZ GONZALEZ</t>
  </si>
  <si>
    <t>MARIA INES MORALES VAQUERA</t>
  </si>
  <si>
    <t>CONTADOR GENEAL</t>
  </si>
  <si>
    <t>ROBERTO MONZALVO SALAZAR</t>
  </si>
  <si>
    <t>SINDICALIZADA</t>
  </si>
  <si>
    <t>JUANA SAUCEDO ORTIZ</t>
  </si>
  <si>
    <t>VICTOR HUGO FLORES LOPEZ</t>
  </si>
  <si>
    <t>ELIZABETH DE JESUS CAMARGO SIFUENTES</t>
  </si>
  <si>
    <t>ENRIQUE RODRIGUEZ BLANCO</t>
  </si>
  <si>
    <t>RICARDO DAMIAN NAVARRO MEJIA</t>
  </si>
  <si>
    <t>LUIS ALONSO TERAN GOMEZ</t>
  </si>
  <si>
    <t>MANUEL BARRAZA ARGUMEDO</t>
  </si>
  <si>
    <t>HECTOR HUGO MARTELL RAMIREZ</t>
  </si>
  <si>
    <t>GENRAL</t>
  </si>
  <si>
    <t>RECEPCIONISTA</t>
  </si>
  <si>
    <t>MARTHA MELENDEZ AGÜERO</t>
  </si>
  <si>
    <t>GERENTE GENERAL</t>
  </si>
  <si>
    <t>JESUS E. MASSU SIFUENTES</t>
  </si>
  <si>
    <t>AUX. ADIMINSTRATIVO</t>
  </si>
  <si>
    <t>HERIBERTO ALVARADO DE LA CRUZ</t>
  </si>
  <si>
    <t>SANDRA ESCOBEDO  SOTO</t>
  </si>
  <si>
    <t>JEFE DE DPTO. DE SISTEMAS</t>
  </si>
  <si>
    <t>SIGIFREDO MUÑOZ MARQUEZ</t>
  </si>
  <si>
    <t>MIGUEL DIAZ GOMEZ</t>
  </si>
  <si>
    <t>JOSE ISMAEL ESPINOZA LARA</t>
  </si>
  <si>
    <t>JUAN GUERRERO GUERRERO</t>
  </si>
  <si>
    <t>FERNANDO MEJIA OLIVA</t>
  </si>
  <si>
    <t>FRANCISCO GUTIERREZ ZUÑIGA</t>
  </si>
  <si>
    <t>EDMUNDO ARELLANO DIMAS</t>
  </si>
  <si>
    <t>ENCARGADO DEL AREA MANTENIMINETO</t>
  </si>
  <si>
    <t>JESUS TREVIÑO SIFUENTES</t>
  </si>
  <si>
    <t>ENCARGADO DEL AREA TNAQUE REBOMBEO</t>
  </si>
  <si>
    <t>ALEJANDRO CASTOR TOVAR</t>
  </si>
  <si>
    <t>ALDO ALONSO TORRES GARCIA</t>
  </si>
  <si>
    <t>ENCARGADO DEL AREA FILTROS ANTIARCENICO</t>
  </si>
  <si>
    <t>MIGUEL ANGEL HERNANDEZ PACHECO</t>
  </si>
  <si>
    <t>CARLOS GUADALUPE ORIGINALES RUVALCABA</t>
  </si>
  <si>
    <t>GERENTE TECNICO</t>
  </si>
  <si>
    <t xml:space="preserve">COYOTE </t>
  </si>
  <si>
    <t>ABELARDO BALDERAS ACOSTA</t>
  </si>
  <si>
    <t>MA DEL CARMEN ZARATE TORRES</t>
  </si>
  <si>
    <t>APOLINAR MENDOZA BARCO</t>
  </si>
  <si>
    <t>ANTONIO TEJEDA MEJIA</t>
  </si>
  <si>
    <t>JEFE DEL SISTEMA COYOTE</t>
  </si>
  <si>
    <t>JAVIER RUIZ MONTES</t>
  </si>
  <si>
    <t>NYDIA ELIDA DE LOS SANTOS LUGO</t>
  </si>
  <si>
    <t>SONIA DE LOS SANTOS LUGO</t>
  </si>
  <si>
    <t>ERIKA URIBE GONZALEZ</t>
  </si>
  <si>
    <t>JUAN JESUS RUIZ HERNANDEZ</t>
  </si>
  <si>
    <t>ADAN MARTINEZ GONZALEZ</t>
  </si>
  <si>
    <t>CARMINA ESTALA VALLES</t>
  </si>
  <si>
    <t>AXEL FABIAN HERNANDEZ GARCIA</t>
  </si>
  <si>
    <t>JAVIER ESCALERA OCHOA</t>
  </si>
  <si>
    <t>SANTIAGO ARMANDO HERNANDEZ SAUCEDO</t>
  </si>
  <si>
    <t>CLV. NOM</t>
  </si>
  <si>
    <t>NOM. CAT</t>
  </si>
  <si>
    <t>OTRAS RETENCIONES</t>
  </si>
  <si>
    <t>SUB-TOTAL</t>
  </si>
  <si>
    <t>NETO</t>
  </si>
  <si>
    <t>RETENCIONES</t>
  </si>
  <si>
    <t>GERENCIA</t>
  </si>
  <si>
    <t>NOMBRE DEL EMPLEADO</t>
  </si>
  <si>
    <t>NUM. EMPLEADO</t>
  </si>
  <si>
    <t>SISTEMA MUNICIPAL DE AGUAS Y SANEAMIENTO DE</t>
  </si>
  <si>
    <t>MATAMOROS, COAHUILA.</t>
  </si>
  <si>
    <t>BM1</t>
  </si>
  <si>
    <t>BM2</t>
  </si>
  <si>
    <t>BM3</t>
  </si>
  <si>
    <t>BM4</t>
  </si>
  <si>
    <t>BM5</t>
  </si>
  <si>
    <t>BM23</t>
  </si>
  <si>
    <t>BM6</t>
  </si>
  <si>
    <t>BM7</t>
  </si>
  <si>
    <t>BM8</t>
  </si>
  <si>
    <t>BM9</t>
  </si>
  <si>
    <t>BM10</t>
  </si>
  <si>
    <t>BM11</t>
  </si>
  <si>
    <t>BM12</t>
  </si>
  <si>
    <t>BM13</t>
  </si>
  <si>
    <t>BM14</t>
  </si>
  <si>
    <t>BM15</t>
  </si>
  <si>
    <t>BM17</t>
  </si>
  <si>
    <t>BM18</t>
  </si>
  <si>
    <t>BM19</t>
  </si>
  <si>
    <t>BM20</t>
  </si>
  <si>
    <t>BM24</t>
  </si>
  <si>
    <t>BM21</t>
  </si>
  <si>
    <t>BM22</t>
  </si>
  <si>
    <t>EDITH VALDEZ GUERRERO</t>
  </si>
  <si>
    <t>BC1</t>
  </si>
  <si>
    <t>BC2</t>
  </si>
  <si>
    <t>BC3</t>
  </si>
  <si>
    <t>BC4</t>
  </si>
  <si>
    <t>BC5</t>
  </si>
  <si>
    <t>BC6</t>
  </si>
  <si>
    <t>BC7</t>
  </si>
  <si>
    <t>EM3</t>
  </si>
  <si>
    <t>EM4</t>
  </si>
  <si>
    <t>EM7</t>
  </si>
  <si>
    <t>EM8</t>
  </si>
  <si>
    <t>EM9</t>
  </si>
  <si>
    <t>EM10</t>
  </si>
  <si>
    <t>EM11</t>
  </si>
  <si>
    <t>EM12</t>
  </si>
  <si>
    <t>EM13</t>
  </si>
  <si>
    <t>EM14</t>
  </si>
  <si>
    <t>EM15</t>
  </si>
  <si>
    <t>EM16</t>
  </si>
  <si>
    <t>EM17</t>
  </si>
  <si>
    <t>EM18</t>
  </si>
  <si>
    <t>EM22</t>
  </si>
  <si>
    <t>EM23</t>
  </si>
  <si>
    <t>EM24</t>
  </si>
  <si>
    <t>EM25</t>
  </si>
  <si>
    <t>EM26</t>
  </si>
  <si>
    <t>EM27</t>
  </si>
  <si>
    <t>EM28</t>
  </si>
  <si>
    <t>EM31</t>
  </si>
  <si>
    <t>EM32</t>
  </si>
  <si>
    <t>EM34</t>
  </si>
  <si>
    <t>EM35</t>
  </si>
  <si>
    <t>EM36</t>
  </si>
  <si>
    <t>EM37</t>
  </si>
  <si>
    <t>EM39</t>
  </si>
  <si>
    <t>EM40</t>
  </si>
  <si>
    <t>EM43</t>
  </si>
  <si>
    <t>EM44</t>
  </si>
  <si>
    <t>EM47</t>
  </si>
  <si>
    <t>EM48</t>
  </si>
  <si>
    <t>EM50</t>
  </si>
  <si>
    <t>EM51</t>
  </si>
  <si>
    <t>EM52</t>
  </si>
  <si>
    <t>EM53</t>
  </si>
  <si>
    <t>EM55</t>
  </si>
  <si>
    <t>EM58</t>
  </si>
  <si>
    <t>EM59</t>
  </si>
  <si>
    <t>EM60</t>
  </si>
  <si>
    <t>EM62</t>
  </si>
  <si>
    <t>EM63</t>
  </si>
  <si>
    <t>EM64</t>
  </si>
  <si>
    <t>EC2</t>
  </si>
  <si>
    <t>EC3</t>
  </si>
  <si>
    <t>EC5</t>
  </si>
  <si>
    <t>EC7</t>
  </si>
  <si>
    <t>EC8</t>
  </si>
  <si>
    <t>EC9</t>
  </si>
  <si>
    <t>EC11</t>
  </si>
  <si>
    <t>EC12</t>
  </si>
  <si>
    <t>EC13</t>
  </si>
  <si>
    <t>EC14</t>
  </si>
  <si>
    <t>EC15</t>
  </si>
  <si>
    <t>FELIPE DE JESUS RIVERA HERNANDEZ</t>
  </si>
  <si>
    <t>OVIDIO ORTIZ RECIO</t>
  </si>
  <si>
    <t>SALVADOR GONZALEZ LEYVA</t>
  </si>
  <si>
    <t>RAUL URIBE MARTINEZ</t>
  </si>
  <si>
    <t>EM45</t>
  </si>
  <si>
    <t>EC16</t>
  </si>
  <si>
    <t>EM65</t>
  </si>
  <si>
    <t>SANDRA IVONE HERNANDEZ ESTRADA</t>
  </si>
  <si>
    <t>ANTONIO SALAZAR GONZALEZ</t>
  </si>
  <si>
    <t>JOSE ANGEL SANDOVAL ARROYO</t>
  </si>
  <si>
    <t>JOSE JUAN CALVILLO RODRIGUEZ</t>
  </si>
  <si>
    <t>EM66</t>
  </si>
  <si>
    <t>EM67</t>
  </si>
  <si>
    <t>RESPONSABLE DE GENERAR LA INFORMACION: ING. FERNANDO FRANCO DE LA FUENTE, JEFE DE DEPTO. DE RECURSOS HUMANOS.</t>
  </si>
  <si>
    <t>RELACION DE EMPLEADOS BASE</t>
  </si>
  <si>
    <t>5100.1.1.4</t>
  </si>
  <si>
    <t>DEPTO.</t>
  </si>
  <si>
    <t>CATEGORIA</t>
  </si>
  <si>
    <t xml:space="preserve">PUESTO </t>
  </si>
  <si>
    <t>CLAVE DEL PUESTO</t>
  </si>
  <si>
    <t>NO. EMPLEADO</t>
  </si>
  <si>
    <t>NOMBRE DEL EMPEADO</t>
  </si>
  <si>
    <t>SUELDO</t>
  </si>
  <si>
    <t>H. EXTRAS</t>
  </si>
  <si>
    <t>AYUPA/ALIM</t>
  </si>
  <si>
    <t>DIA 31</t>
  </si>
  <si>
    <t>OTRAS PERS.</t>
  </si>
  <si>
    <t>P.P.</t>
  </si>
  <si>
    <t>P.A.</t>
  </si>
  <si>
    <t>7o DIAS</t>
  </si>
  <si>
    <t>VALES DES.</t>
  </si>
  <si>
    <t>CREDITO</t>
  </si>
  <si>
    <t>VACACIONES</t>
  </si>
  <si>
    <t>PRIMA VACACIONAL</t>
  </si>
  <si>
    <t>TOTAL DE PRESTACIONES</t>
  </si>
  <si>
    <t>SEG. SOC.</t>
  </si>
  <si>
    <t>C. SINDICAL</t>
  </si>
  <si>
    <t>PRESTAMO PERSONAL</t>
  </si>
  <si>
    <t>INFONAVIT</t>
  </si>
  <si>
    <t>ZAFY</t>
  </si>
  <si>
    <t>TOTAL DE DEDUCCIONES</t>
  </si>
  <si>
    <t>TOTAL</t>
  </si>
  <si>
    <t xml:space="preserve"> $-   </t>
  </si>
  <si>
    <t>EDITH VALDES GUERRERO</t>
  </si>
  <si>
    <t xml:space="preserve">  </t>
  </si>
  <si>
    <t>RELACION DE EMPLEADOS DE EVENTUALES</t>
  </si>
  <si>
    <t>NOMINA DEL  01 AL 15 DE DICIEMBRE DEL 2016</t>
  </si>
  <si>
    <t>DEPARTAMENTO</t>
  </si>
  <si>
    <t>NOMBRE</t>
  </si>
  <si>
    <t>SALARIO DIARIO</t>
  </si>
  <si>
    <t>T. EXTRA</t>
  </si>
  <si>
    <t>OTRAS PRESTACIONES</t>
  </si>
  <si>
    <t>DEUDAS</t>
  </si>
  <si>
    <t>zafy</t>
  </si>
  <si>
    <t>C. SIND.</t>
  </si>
  <si>
    <t xml:space="preserve"> PRESTACIONES BASE</t>
  </si>
  <si>
    <t xml:space="preserve"> PRESTACIONES  INCIDENCIAS</t>
  </si>
  <si>
    <t>PAGO CON CHEQUE</t>
  </si>
  <si>
    <t>NOMINA DEL  16 AL 31 DE ENERO DEL 2017</t>
  </si>
  <si>
    <t>NOMINA DEL  01 AL 15 DE FEBRERO DEL 2017</t>
  </si>
  <si>
    <t>FERNANDO FRANCO DE LA FUENTE</t>
  </si>
  <si>
    <t>ROBERTO QUIROZ SALAZAR</t>
  </si>
  <si>
    <t>NOMINA DEL  16 AL 28 DE FEBRERO DEL 2017</t>
  </si>
  <si>
    <t>NOMINA DEL  15 AL 31 DE MARZO DEL 2017</t>
  </si>
  <si>
    <t>JEFE DE DEPARTAMENTO RECURSOS HUMANOS</t>
  </si>
  <si>
    <t>ENCARGADO DESPACHO DE LA GERENCIA</t>
  </si>
  <si>
    <t>FECHA DE ACTUALIZACION Y/O REVICION: 01 DE ABRIL DE 2017.</t>
  </si>
  <si>
    <t>EM69</t>
  </si>
  <si>
    <t>EM68</t>
  </si>
  <si>
    <t>GERENTE TÉCNICO</t>
  </si>
  <si>
    <t>CONTADOR GENERAL</t>
  </si>
  <si>
    <t>AUX. CONTABLE</t>
  </si>
  <si>
    <t>COORDINADOR DE UNIDAD DE TRANSPARENCIA</t>
  </si>
  <si>
    <t>JEFE DEL DPTO DE AGUA POTABLE</t>
  </si>
  <si>
    <t>SUPERVISOR DE FONTANEROS</t>
  </si>
  <si>
    <t>SUPERVISOR DE AGUA POTABLE</t>
  </si>
  <si>
    <t>SUPERVISOR DE DRENAJE</t>
  </si>
  <si>
    <t>TRANSPARENCIA</t>
  </si>
  <si>
    <t>AUX.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</si>
</sst>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</font>
    <font>
      <sz val="6"/>
      <name val="Calibri"/>
      <family val="2"/>
    </font>
    <font>
      <sz val="6"/>
      <color theme="1"/>
      <name val="Calibri"/>
      <family val="2"/>
      <scheme val="minor"/>
    </font>
    <font>
      <sz val="8"/>
      <color indexed="8"/>
      <name val="Calibri"/>
      <family val="2"/>
    </font>
    <font>
      <sz val="6"/>
      <color indexed="8"/>
      <name val="Calibri"/>
      <family val="2"/>
    </font>
    <font>
      <b/>
      <sz val="8"/>
      <color indexed="8"/>
      <name val="Calibri"/>
      <family val="2"/>
    </font>
    <font>
      <b/>
      <sz val="6"/>
      <color indexed="8"/>
      <name val="Calibri"/>
      <family val="2"/>
    </font>
    <font>
      <b/>
      <sz val="6"/>
      <color indexed="10"/>
      <name val="Calibri"/>
      <family val="2"/>
    </font>
    <font>
      <b/>
      <sz val="6"/>
      <name val="Calibri"/>
      <family val="2"/>
    </font>
    <font>
      <b/>
      <sz val="8"/>
      <color indexed="10"/>
      <name val="Calibri"/>
      <family val="2"/>
    </font>
    <font>
      <sz val="5"/>
      <color indexed="8"/>
      <name val="Calibri"/>
      <family val="2"/>
    </font>
    <font>
      <b/>
      <sz val="6"/>
      <color theme="1"/>
      <name val="Calibri"/>
      <family val="2"/>
      <scheme val="minor"/>
    </font>
    <font>
      <sz val="5.5"/>
      <color indexed="8"/>
      <name val="Calibri"/>
      <family val="2"/>
    </font>
    <font>
      <b/>
      <sz val="6"/>
      <color theme="5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8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3" fontId="5" fillId="0" borderId="1" xfId="1" applyFont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3" fontId="5" fillId="2" borderId="3" xfId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vertical="center"/>
    </xf>
    <xf numFmtId="164" fontId="5" fillId="0" borderId="1" xfId="3" applyNumberFormat="1" applyFont="1" applyBorder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4" xfId="2" applyNumberFormat="1" applyFont="1" applyBorder="1" applyAlignment="1">
      <alignment horizontal="center" vertical="center" wrapText="1"/>
    </xf>
    <xf numFmtId="43" fontId="4" fillId="0" borderId="4" xfId="2" applyNumberFormat="1" applyFont="1" applyBorder="1" applyAlignment="1">
      <alignment horizontal="center" vertical="center" wrapText="1"/>
    </xf>
    <xf numFmtId="44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17" fontId="12" fillId="0" borderId="0" xfId="0" applyNumberFormat="1" applyFont="1" applyFill="1" applyBorder="1" applyAlignment="1">
      <alignment horizontal="center" vertical="center"/>
    </xf>
    <xf numFmtId="17" fontId="13" fillId="0" borderId="0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9" fillId="0" borderId="0" xfId="0" applyNumberFormat="1" applyFont="1"/>
    <xf numFmtId="0" fontId="16" fillId="0" borderId="0" xfId="0" applyNumberFormat="1" applyFont="1" applyFill="1" applyAlignment="1">
      <alignment vertical="center"/>
    </xf>
    <xf numFmtId="0" fontId="0" fillId="0" borderId="0" xfId="0" applyNumberFormat="1"/>
    <xf numFmtId="0" fontId="1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44" fontId="13" fillId="0" borderId="1" xfId="3" applyNumberFormat="1" applyFont="1" applyBorder="1" applyAlignment="1">
      <alignment vertical="center"/>
    </xf>
    <xf numFmtId="44" fontId="13" fillId="0" borderId="2" xfId="3" applyNumberFormat="1" applyFont="1" applyBorder="1" applyAlignment="1">
      <alignment vertical="center"/>
    </xf>
    <xf numFmtId="44" fontId="13" fillId="0" borderId="2" xfId="1" applyNumberFormat="1" applyFont="1" applyBorder="1" applyAlignment="1">
      <alignment vertical="center"/>
    </xf>
    <xf numFmtId="44" fontId="15" fillId="0" borderId="2" xfId="1" applyNumberFormat="1" applyFont="1" applyBorder="1" applyAlignment="1">
      <alignment vertical="center"/>
    </xf>
    <xf numFmtId="44" fontId="12" fillId="0" borderId="1" xfId="3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44" fontId="13" fillId="0" borderId="3" xfId="3" applyNumberFormat="1" applyFont="1" applyBorder="1" applyAlignment="1">
      <alignment vertical="center"/>
    </xf>
    <xf numFmtId="44" fontId="15" fillId="0" borderId="3" xfId="1" applyNumberFormat="1" applyFont="1" applyBorder="1" applyAlignment="1">
      <alignment vertical="center"/>
    </xf>
    <xf numFmtId="44" fontId="13" fillId="0" borderId="3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4" fontId="15" fillId="0" borderId="1" xfId="1" applyNumberFormat="1" applyFont="1" applyBorder="1" applyAlignment="1">
      <alignment vertical="center"/>
    </xf>
    <xf numFmtId="44" fontId="13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44" fontId="13" fillId="0" borderId="1" xfId="3" applyNumberFormat="1" applyFont="1" applyFill="1" applyBorder="1" applyAlignment="1">
      <alignment vertical="center"/>
    </xf>
    <xf numFmtId="44" fontId="15" fillId="0" borderId="1" xfId="1" applyNumberFormat="1" applyFont="1" applyFill="1" applyBorder="1" applyAlignment="1">
      <alignment vertical="center"/>
    </xf>
    <xf numFmtId="44" fontId="13" fillId="0" borderId="1" xfId="1" applyNumberFormat="1" applyFont="1" applyFill="1" applyBorder="1" applyAlignment="1">
      <alignment vertical="center"/>
    </xf>
    <xf numFmtId="44" fontId="12" fillId="2" borderId="1" xfId="3" applyNumberFormat="1" applyFont="1" applyFill="1" applyBorder="1" applyAlignment="1">
      <alignment vertical="center"/>
    </xf>
    <xf numFmtId="44" fontId="0" fillId="0" borderId="0" xfId="0" applyNumberFormat="1"/>
    <xf numFmtId="0" fontId="13" fillId="0" borderId="1" xfId="0" applyFont="1" applyBorder="1" applyAlignment="1">
      <alignment vertical="center"/>
    </xf>
    <xf numFmtId="44" fontId="12" fillId="0" borderId="1" xfId="3" applyNumberFormat="1" applyFont="1" applyFill="1" applyBorder="1" applyAlignment="1">
      <alignment vertical="center"/>
    </xf>
    <xf numFmtId="44" fontId="13" fillId="0" borderId="0" xfId="3" applyNumberFormat="1" applyFont="1" applyBorder="1" applyAlignment="1">
      <alignment vertical="center"/>
    </xf>
    <xf numFmtId="44" fontId="9" fillId="0" borderId="0" xfId="0" applyNumberFormat="1" applyFont="1"/>
    <xf numFmtId="0" fontId="2" fillId="0" borderId="0" xfId="0" applyFont="1"/>
    <xf numFmtId="44" fontId="20" fillId="0" borderId="1" xfId="3" applyNumberFormat="1" applyFont="1" applyBorder="1" applyAlignment="1">
      <alignment vertical="center"/>
    </xf>
    <xf numFmtId="44" fontId="15" fillId="0" borderId="1" xfId="3" applyNumberFormat="1" applyFont="1" applyBorder="1" applyAlignment="1">
      <alignment vertical="center"/>
    </xf>
    <xf numFmtId="0" fontId="9" fillId="0" borderId="1" xfId="0" applyFont="1" applyBorder="1"/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4" fontId="15" fillId="0" borderId="1" xfId="3" applyNumberFormat="1" applyFont="1" applyFill="1" applyBorder="1" applyAlignment="1">
      <alignment vertical="center"/>
    </xf>
    <xf numFmtId="44" fontId="21" fillId="0" borderId="1" xfId="3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3" fontId="22" fillId="0" borderId="0" xfId="1" applyFont="1" applyBorder="1" applyAlignment="1">
      <alignment vertical="center"/>
    </xf>
    <xf numFmtId="43" fontId="22" fillId="0" borderId="0" xfId="1" applyFont="1" applyBorder="1" applyAlignment="1">
      <alignment horizontal="center" vertical="center"/>
    </xf>
    <xf numFmtId="0" fontId="0" fillId="0" borderId="0" xfId="0" applyFont="1"/>
    <xf numFmtId="0" fontId="2" fillId="0" borderId="0" xfId="1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2" fillId="0" borderId="5" xfId="1" applyNumberFormat="1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wrapText="1"/>
    </xf>
    <xf numFmtId="43" fontId="22" fillId="0" borderId="4" xfId="2" applyNumberFormat="1" applyFont="1" applyBorder="1" applyAlignment="1">
      <alignment horizontal="center" vertical="center" wrapText="1"/>
    </xf>
    <xf numFmtId="43" fontId="22" fillId="0" borderId="4" xfId="2" applyNumberFormat="1" applyFont="1" applyBorder="1" applyAlignment="1">
      <alignment horizontal="center" wrapText="1"/>
    </xf>
    <xf numFmtId="164" fontId="2" fillId="2" borderId="6" xfId="1" applyNumberFormat="1" applyFont="1" applyFill="1" applyBorder="1" applyAlignment="1">
      <alignment horizontal="center" vertical="center"/>
    </xf>
    <xf numFmtId="43" fontId="23" fillId="2" borderId="6" xfId="1" applyFont="1" applyFill="1" applyBorder="1" applyAlignment="1">
      <alignment vertical="center"/>
    </xf>
    <xf numFmtId="43" fontId="23" fillId="0" borderId="6" xfId="1" applyFont="1" applyBorder="1" applyAlignment="1">
      <alignment vertical="center"/>
    </xf>
    <xf numFmtId="43" fontId="23" fillId="0" borderId="1" xfId="1" applyFont="1" applyBorder="1" applyAlignment="1">
      <alignment vertical="center"/>
    </xf>
    <xf numFmtId="43" fontId="23" fillId="2" borderId="6" xfId="2" applyNumberFormat="1" applyFont="1" applyFill="1" applyBorder="1" applyAlignment="1">
      <alignment horizontal="center" vertical="center"/>
    </xf>
    <xf numFmtId="43" fontId="24" fillId="0" borderId="1" xfId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6" xfId="0" applyFont="1" applyBorder="1" applyAlignment="1">
      <alignment vertical="center"/>
    </xf>
    <xf numFmtId="43" fontId="23" fillId="2" borderId="1" xfId="1" applyFont="1" applyFill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/>
    </xf>
    <xf numFmtId="43" fontId="23" fillId="0" borderId="1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3" fontId="23" fillId="2" borderId="2" xfId="1" applyFont="1" applyFill="1" applyBorder="1" applyAlignment="1">
      <alignment vertical="center"/>
    </xf>
    <xf numFmtId="43" fontId="23" fillId="2" borderId="11" xfId="1" applyFont="1" applyFill="1" applyBorder="1" applyAlignment="1">
      <alignment vertical="center"/>
    </xf>
    <xf numFmtId="43" fontId="23" fillId="0" borderId="11" xfId="1" applyFont="1" applyBorder="1" applyAlignment="1">
      <alignment vertical="center"/>
    </xf>
    <xf numFmtId="43" fontId="23" fillId="2" borderId="11" xfId="2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vertical="center"/>
    </xf>
    <xf numFmtId="43" fontId="23" fillId="0" borderId="6" xfId="1" applyFont="1" applyFill="1" applyBorder="1" applyAlignment="1">
      <alignment vertical="center"/>
    </xf>
    <xf numFmtId="43" fontId="23" fillId="0" borderId="1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43" fontId="23" fillId="0" borderId="6" xfId="2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5" fillId="2" borderId="6" xfId="1" applyNumberFormat="1" applyFont="1" applyFill="1" applyBorder="1" applyAlignment="1">
      <alignment horizontal="center" vertical="center"/>
    </xf>
    <xf numFmtId="43" fontId="23" fillId="2" borderId="1" xfId="2" applyNumberFormat="1" applyFont="1" applyFill="1" applyBorder="1" applyAlignment="1">
      <alignment horizontal="center" vertical="center"/>
    </xf>
    <xf numFmtId="43" fontId="23" fillId="0" borderId="2" xfId="1" applyFont="1" applyBorder="1" applyAlignment="1">
      <alignment vertical="center"/>
    </xf>
    <xf numFmtId="43" fontId="23" fillId="0" borderId="2" xfId="2" applyNumberFormat="1" applyFont="1" applyBorder="1" applyAlignment="1">
      <alignment horizontal="center" vertical="center"/>
    </xf>
    <xf numFmtId="43" fontId="24" fillId="0" borderId="2" xfId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23" fillId="0" borderId="6" xfId="2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43" fontId="23" fillId="0" borderId="1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43" fontId="25" fillId="2" borderId="6" xfId="1" applyFont="1" applyFill="1" applyBorder="1" applyAlignment="1">
      <alignment vertical="center"/>
    </xf>
    <xf numFmtId="43" fontId="25" fillId="0" borderId="6" xfId="1" applyFont="1" applyBorder="1" applyAlignment="1">
      <alignment vertical="center"/>
    </xf>
    <xf numFmtId="43" fontId="25" fillId="2" borderId="6" xfId="2" applyNumberFormat="1" applyFont="1" applyFill="1" applyBorder="1" applyAlignment="1">
      <alignment horizontal="center" vertical="center"/>
    </xf>
    <xf numFmtId="43" fontId="23" fillId="0" borderId="3" xfId="2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43" fontId="24" fillId="2" borderId="6" xfId="1" applyFont="1" applyFill="1" applyBorder="1" applyAlignment="1">
      <alignment vertical="center"/>
    </xf>
    <xf numFmtId="43" fontId="23" fillId="0" borderId="8" xfId="1" applyFont="1" applyFill="1" applyBorder="1" applyAlignment="1">
      <alignment vertical="center"/>
    </xf>
    <xf numFmtId="43" fontId="22" fillId="2" borderId="4" xfId="1" applyFont="1" applyFill="1" applyBorder="1" applyAlignment="1">
      <alignment horizontal="center" vertical="center" wrapText="1"/>
    </xf>
    <xf numFmtId="164" fontId="23" fillId="0" borderId="1" xfId="1" applyNumberFormat="1" applyFont="1" applyBorder="1" applyAlignment="1">
      <alignment horizontal="center" vertical="center"/>
    </xf>
    <xf numFmtId="43" fontId="24" fillId="0" borderId="3" xfId="1" applyFont="1" applyBorder="1" applyAlignment="1">
      <alignment vertical="center"/>
    </xf>
    <xf numFmtId="43" fontId="23" fillId="0" borderId="3" xfId="1" applyFont="1" applyBorder="1" applyAlignment="1">
      <alignment vertical="center"/>
    </xf>
    <xf numFmtId="164" fontId="23" fillId="0" borderId="6" xfId="1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164" fontId="23" fillId="0" borderId="6" xfId="1" applyNumberFormat="1" applyFont="1" applyFill="1" applyBorder="1" applyAlignment="1">
      <alignment horizontal="center" vertical="center"/>
    </xf>
    <xf numFmtId="43" fontId="26" fillId="0" borderId="1" xfId="1" applyFont="1" applyBorder="1" applyAlignment="1">
      <alignment vertical="center"/>
    </xf>
    <xf numFmtId="43" fontId="24" fillId="0" borderId="1" xfId="1" applyFont="1" applyFill="1" applyBorder="1" applyAlignment="1">
      <alignment vertical="center"/>
    </xf>
    <xf numFmtId="164" fontId="27" fillId="4" borderId="10" xfId="1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0" xfId="2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8" fillId="0" borderId="0" xfId="0" applyFont="1"/>
    <xf numFmtId="43" fontId="27" fillId="0" borderId="0" xfId="1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27" fillId="0" borderId="4" xfId="1" applyFont="1" applyBorder="1" applyAlignment="1">
      <alignment horizontal="center" vertical="center" wrapText="1"/>
    </xf>
    <xf numFmtId="43" fontId="2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18" fillId="0" borderId="0" xfId="0" applyNumberFormat="1" applyFont="1"/>
    <xf numFmtId="43" fontId="23" fillId="0" borderId="3" xfId="1" applyFont="1" applyFill="1" applyBorder="1" applyAlignment="1">
      <alignment vertical="center"/>
    </xf>
    <xf numFmtId="43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" fontId="2" fillId="0" borderId="0" xfId="0" applyNumberFormat="1" applyFont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171450</xdr:rowOff>
    </xdr:from>
    <xdr:to>
      <xdr:col>1</xdr:col>
      <xdr:colOff>238125</xdr:colOff>
      <xdr:row>4</xdr:row>
      <xdr:rowOff>135467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71450"/>
          <a:ext cx="752475" cy="668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171450</xdr:rowOff>
    </xdr:from>
    <xdr:to>
      <xdr:col>1</xdr:col>
      <xdr:colOff>238125</xdr:colOff>
      <xdr:row>4</xdr:row>
      <xdr:rowOff>135467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71450"/>
          <a:ext cx="782955" cy="665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171450</xdr:rowOff>
    </xdr:from>
    <xdr:to>
      <xdr:col>1</xdr:col>
      <xdr:colOff>238125</xdr:colOff>
      <xdr:row>4</xdr:row>
      <xdr:rowOff>135467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71450"/>
          <a:ext cx="782955" cy="6650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AS%20RECHUMANOS/Desktop/LAYOUT%20PARA%20SUBIR%20SIIF/EXCEL/NOMINAS%202017/1%20LAYOUT%20NOM%201%20QUIN%20ENE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AS%20RECHUMANOS/Desktop/LAYOUT%20PARA%20SUBIR%20SIIF/EXCEL/NOMINAS%202017/2%20%20LAYOUT%20NOM%202%20QUIN%20ENE%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AS%20RECHUMANOS/Desktop/LAYOUT%20PARA%20SUBIR%20SIIF/EXCEL/NOMINAS%202017/3%20%20LAYOUT%20NOM%201%20QUIN%20FEB%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AS%20RECHUMANOS/Desktop/LAYOUT%20PARA%20SUBIR%20SIIF/EXCEL/NOMINAS%202017/4%20%20LAYOUT%20NOM%202%20QUIN%20FEB%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AS%20RECHUMANOS/Desktop/LAYOUT%20PARA%20SUBIR%20SIIF/EXCEL/NOMINAS%202017/5%20%20LAYOUT%20NOM%201%20QUIN%20MARZ%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AS%20RECHUMANOS/Desktop/LAYOUT%20PARA%20SUBIR%20SIIF/EXCEL/NOMINAS%202017/6%20%20LAYOUT%20NOM%202%20QUIN%20MARZ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EGAR RECIBOS"/>
      <sheetName val="LAYOUT NOM 1 QUIN ENE 17 SIIF"/>
      <sheetName val="EVENTUAL"/>
      <sheetName val="Hoja1"/>
      <sheetName val="BASE "/>
      <sheetName val="LUIS FERREL"/>
      <sheetName val="MA DE LOS ANGELES ARELLANO"/>
      <sheetName val="NORMA HILDA FLORES E"/>
      <sheetName val="PABLO ROBERTO DERAS MON"/>
      <sheetName val="JOSE AYUP BARKER"/>
      <sheetName val="LUIS ALBERTO MARTINEZ CH"/>
      <sheetName val="FERNANDO CASTAÑEDA LIMONES"/>
      <sheetName val="LUIS ANGEL CARRILLO HUERTA"/>
      <sheetName val="JOSE AYUP DEL BOSQUE"/>
      <sheetName val="RODOLFO AYUP GUERRERO"/>
      <sheetName val="PEDRO JUAREZ GARCIA"/>
      <sheetName val="PAMELA IVONNE ESCOBEDO"/>
      <sheetName val="ROSAVELIA HERNANDEZ LOPEZ"/>
      <sheetName val="MARIO ELIHEL SANCHEZ GLZ"/>
      <sheetName val="MARIA INES MORALES VAQUERA"/>
      <sheetName val="ROBERTO MONZALVO SALAZAR"/>
      <sheetName val="AXEL FABIAN"/>
      <sheetName val="JUANA SAUCEDO ORTIZ"/>
      <sheetName val="VICTOR HUGO FLORES"/>
      <sheetName val="FELIPE DE JESUS R"/>
      <sheetName val="NALLELY GUERRERO M"/>
      <sheetName val="ELIZABETH DE JESUS CAMARGO"/>
      <sheetName val="ENRIQUE RODRIGUEZ B"/>
      <sheetName val="RICARDO DAMIAN NAVARRO MEJIA"/>
      <sheetName val="LUIS ALONSO TERAN"/>
      <sheetName val="JAVIER MENDEZ"/>
      <sheetName val="MANUEL BARRAZA"/>
      <sheetName val="HUGO MARTELL"/>
      <sheetName val="JAVIER ESCALERA OCHOA"/>
      <sheetName val="SANTIAGO ARMANDO HERNANDE"/>
      <sheetName val="OVIDIO"/>
      <sheetName val="MARTHA MELENDEZ"/>
      <sheetName val="JESUS E. MASSU SIFUENT"/>
      <sheetName val="HERIBERTO ALVARADO DE LA C"/>
      <sheetName val="SANDRA ESCOBEDO SOTO"/>
      <sheetName val="SIGIFREDO MUÑOZ"/>
      <sheetName val="MIGUEL DIAZ GOMEZ"/>
      <sheetName val="JOSE ISMAEL ESPINOZA"/>
      <sheetName val="JUAN GUERRERO GUERRERO"/>
      <sheetName val="FERNANDO MEJIA OLIVA"/>
      <sheetName val="FRANCISCO GUTIERREZ"/>
      <sheetName val="EDMUNDO ARELLANO"/>
      <sheetName val="JESUS TREVIÑO SIFUENTES"/>
      <sheetName val="ALEJANDRO CASTOR TOVAR"/>
      <sheetName val="ALDO ALONSO TORRES G"/>
      <sheetName val="MIGUEL ANGEL HERNANDEZ PACHECO"/>
      <sheetName val="CARLOS GUADALUPE ORIGINALES"/>
      <sheetName val="RAFAEL HERNANDEZ"/>
      <sheetName val="SALVADOR GONZALEZ LEYVA"/>
      <sheetName val="SISTEMA COYOTE-GRANADA"/>
      <sheetName val="ABELARDO BALDERAS A"/>
      <sheetName val="MA DEL CARMEN ZARATE"/>
      <sheetName val="APOLINAR MENDOZA"/>
      <sheetName val="ANTONIO TEJEDA"/>
      <sheetName val="JAVIER RUIZ MONTES"/>
      <sheetName val="NYDIA ELIDA DE LOS SANTOS"/>
      <sheetName val="SONIA DE LOS SANTOS LUGO"/>
      <sheetName val="ERIKA URIBE GONZALEZ"/>
      <sheetName val="JUAN JESUS RUIZ HERNANDEZ"/>
      <sheetName val="ADAN MARTINEZ GONZALEZ"/>
      <sheetName val="CARMINA ESTALA"/>
      <sheetName val="RAUL URIBE"/>
    </sheetNames>
    <sheetDataSet>
      <sheetData sheetId="0"/>
      <sheetData sheetId="1"/>
      <sheetData sheetId="2">
        <row r="2">
          <cell r="J2" t="str">
            <v>NOMINA DEL  01 AL 15 DE DICIEMBRE DEL 2016</v>
          </cell>
        </row>
      </sheetData>
      <sheetData sheetId="3"/>
      <sheetData sheetId="4">
        <row r="55">
          <cell r="AB55">
            <v>15424.101333333332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EGAR RECIBOS"/>
      <sheetName val="Hoja3"/>
      <sheetName val="CARGA DEL SIIF"/>
      <sheetName val="EVENTUAL"/>
      <sheetName val="BASE "/>
      <sheetName val="Hoja2"/>
      <sheetName val="Hoja1"/>
      <sheetName val="LUIS FERREL"/>
      <sheetName val="MA DE LOS ANGELES ARELLANO"/>
      <sheetName val="NORMA HILDA FLORES E"/>
      <sheetName val="PABLO ROBERTO DERAS MON"/>
      <sheetName val="JOSE AYUP BARKER"/>
      <sheetName val="LUIS ALBERTO MARTINEZ CH"/>
      <sheetName val="FERNANDO CASTAÑEDA LIMONES"/>
      <sheetName val="LUIS ANGEL CARRILLO HUERTA"/>
      <sheetName val="JOSE AYUP DEL BOSQUE"/>
      <sheetName val="RODOLFO AYUP GUERRERO"/>
      <sheetName val="PEDRO JUAREZ GARCIA"/>
      <sheetName val="PAMELA IVONNE ESCOBEDO"/>
      <sheetName val="ROSAVELIA HERNANDEZ LOPEZ"/>
      <sheetName val="MARIO ELIHEL SANCHEZ GLZ"/>
      <sheetName val="MARIA INES MORALES VAQUERA"/>
      <sheetName val="ROBERTO MONZALVO SALAZAR"/>
      <sheetName val="AXEL FABIAN"/>
      <sheetName val="JUANA SAUCEDO ORTIZ"/>
      <sheetName val="VICTOR HUGO FLORES"/>
      <sheetName val="FELIPE DE JESUS R"/>
      <sheetName val="NALLELY GUERRERO M"/>
      <sheetName val="ELIZABETH DE JESUS CAMARGO"/>
      <sheetName val="ENRIQUE RODRIGUEZ B"/>
      <sheetName val="RICARDO DAMIAN NAVARRO MEJIA"/>
      <sheetName val="LUIS ALONSO TERAN"/>
      <sheetName val="JAVIER MENDEZ"/>
      <sheetName val="MANUEL BARRAZA"/>
      <sheetName val="HUGO MARTELL"/>
      <sheetName val="JAVIER ESCALERA OCHOA"/>
      <sheetName val="SANTIAGO ARMANDO HERNANDE"/>
      <sheetName val="OVIDIO"/>
      <sheetName val="MARTHA MELENDEZ"/>
      <sheetName val="JESUS E. MASSU SIFUENT"/>
      <sheetName val="HERIBERTO ALVARADO DE LA C"/>
      <sheetName val="SANDRA ESCOBEDO SOTO"/>
      <sheetName val="SIGIFREDO MUÑOZ"/>
      <sheetName val="MIGUEL DIAZ GOMEZ"/>
      <sheetName val="JOSE ISMAEL ESPINOZA"/>
      <sheetName val="JUAN GUERRERO GUERRERO"/>
      <sheetName val="FERNANDO MEJIA OLIVA"/>
      <sheetName val="FRANCISCO GUTIERREZ"/>
      <sheetName val="EDMUNDO ARELLANO"/>
      <sheetName val="JESUS TREVIÑO SIFUENTES"/>
      <sheetName val="ALEJANDRO CASTOR TOVAR"/>
      <sheetName val="ALDO ALONSO TORRES G"/>
      <sheetName val="MIGUEL ANGEL HERNANDEZ PACHECO"/>
      <sheetName val="CARLOS GUADALUPE ORIGINALES"/>
      <sheetName val="RAFAEL HERNANDEZ"/>
      <sheetName val="SALVADOR GONZALEZ LEYVA"/>
      <sheetName val="SISTEMA COYOTE-GRANADA"/>
      <sheetName val="ABELARDO BALDERAS A"/>
      <sheetName val="MA DEL CARMEN ZARATE"/>
      <sheetName val="APOLINAR MENDOZA"/>
      <sheetName val="ANTONIO TEJEDA"/>
      <sheetName val="JAVIER RUIZ MONTES"/>
      <sheetName val="NYDIA ELIDA DE LOS SANTOS"/>
      <sheetName val="SONIA DE LOS SANTOS LUGO"/>
      <sheetName val="ERIKA URIBE GONZALEZ"/>
      <sheetName val="JUAN JESUS RUIZ HERNANDEZ"/>
      <sheetName val="ADAN MARTINEZ GONZALEZ"/>
      <sheetName val="CARMINA ESTALA"/>
      <sheetName val="RAUL URIBE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NOMINA DEL  16 AL 31 DE ENERO DEL 2017</v>
          </cell>
        </row>
      </sheetData>
      <sheetData sheetId="4">
        <row r="55">
          <cell r="AB55">
            <v>16612.55533333333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EGAR RECIBOS"/>
      <sheetName val="3  LAYOUT NOM 1 QUIN FEB 17"/>
      <sheetName val="EVENTUAL"/>
      <sheetName val="BASE "/>
      <sheetName val="Hoja2"/>
      <sheetName val="Hoja1"/>
      <sheetName val="LUIS FERREL"/>
      <sheetName val="MA DE LOS ANGELES ARELLANO"/>
      <sheetName val="NORMA HILDA FLORES E"/>
      <sheetName val="PABLO ROBERTO DERAS MON"/>
      <sheetName val="JOSE AYUP BARKER"/>
      <sheetName val="LUIS ALBERTO MARTINEZ CH"/>
      <sheetName val="FERNANDO CASTAÑEDA LIMONES"/>
      <sheetName val="LUIS ANGEL CARRILLO HUERTA"/>
      <sheetName val="JOSE AYUP DEL BOSQUE"/>
      <sheetName val="RODOLFO AYUP GUERRERO"/>
      <sheetName val="PEDRO JUAREZ GARCIA"/>
      <sheetName val="PAMELA IVONNE ESCOBEDO"/>
      <sheetName val="ROSAVELIA HERNANDEZ LOPEZ"/>
      <sheetName val="MARIO ELIHEL SANCHEZ GLZ"/>
      <sheetName val="MARIA INES MORALES VAQUERA"/>
      <sheetName val="ROBERTO MONZALVO SALAZAR"/>
      <sheetName val="AXEL FABIAN"/>
      <sheetName val="JUANA SAUCEDO ORTIZ"/>
      <sheetName val="VICTOR HUGO FLORES"/>
      <sheetName val="FELIPE DE JESUS R"/>
      <sheetName val="NALLELY GUERRERO M"/>
      <sheetName val="ELIZABETH DE JESUS CAMARGO"/>
      <sheetName val="ENRIQUE RODRIGUEZ B"/>
      <sheetName val="RICARDO DAMIAN NAVARRO MEJIA"/>
      <sheetName val="LUIS ALONSO TERAN"/>
      <sheetName val="JAVIER MENDEZ"/>
      <sheetName val="MANUEL BARRAZA"/>
      <sheetName val="HUGO MARTELL"/>
      <sheetName val="JAVIER ESCALERA OCHOA"/>
      <sheetName val="SANTIAGO ARMANDO HERNANDE"/>
      <sheetName val="OVIDIO"/>
      <sheetName val="MARTHA MELENDEZ"/>
      <sheetName val="JESUS E. MASSU SIFUENT"/>
      <sheetName val="HERIBERTO ALVARADO DE LA C"/>
      <sheetName val="SANDRA ESCOBEDO SOTO"/>
      <sheetName val="SIGIFREDO MUÑOZ"/>
      <sheetName val="MIGUEL DIAZ GOMEZ"/>
      <sheetName val="JOSE ISMAEL ESPINOZA"/>
      <sheetName val="JUAN GUERRERO GUERRERO"/>
      <sheetName val="FERNANDO MEJIA OLIVA"/>
      <sheetName val="FRANCISCO GUTIERREZ"/>
      <sheetName val="EDMUNDO ARELLANO"/>
      <sheetName val="JESUS TREVIÑO SIFUENTES"/>
      <sheetName val="ALEJANDRO CASTOR TOVAR"/>
      <sheetName val="ALDO ALONSO TORRES G"/>
      <sheetName val="MIGUEL ANGEL HERNANDEZ PACHECO"/>
      <sheetName val="CARLOS GUADALUPE ORIGINALES"/>
      <sheetName val="RAFAEL HERNANDEZ"/>
      <sheetName val="SALVADOR GONZALEZ LEYVA"/>
      <sheetName val="SISTEMA COYOTE-GRANADA"/>
      <sheetName val="ABELARDO BALDERAS A"/>
      <sheetName val="MA DEL CARMEN ZARATE"/>
      <sheetName val="APOLINAR MENDOZA"/>
      <sheetName val="ANTONIO TEJEDA"/>
      <sheetName val="JAVIER RUIZ MONTES"/>
      <sheetName val="NYDIA ELIDA DE LOS SANTOS"/>
      <sheetName val="SONIA DE LOS SANTOS LUGO"/>
      <sheetName val="ERIKA URIBE GONZALEZ"/>
      <sheetName val="JUAN JESUS RUIZ HERNANDEZ"/>
      <sheetName val="ADAN MARTINEZ GONZALEZ"/>
      <sheetName val="CARMINA ESTALA"/>
      <sheetName val="RAUL URIBE"/>
    </sheetNames>
    <sheetDataSet>
      <sheetData sheetId="0" refreshError="1"/>
      <sheetData sheetId="1" refreshError="1"/>
      <sheetData sheetId="2">
        <row r="2">
          <cell r="J2" t="str">
            <v>NOMINA DEL  01 AL 15 DE FEBRERO DEL 2017</v>
          </cell>
        </row>
      </sheetData>
      <sheetData sheetId="3">
        <row r="34">
          <cell r="AB34">
            <v>86861.958466666678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EGAR RECIBOS"/>
      <sheetName val="4  LAYOUT NOM 2 QUIN FEB 17"/>
      <sheetName val="Hoja3"/>
      <sheetName val="EVENTUAL"/>
      <sheetName val="BASE "/>
      <sheetName val="Hoja2"/>
      <sheetName val="Hoja1"/>
      <sheetName val="LUIS FERREL"/>
      <sheetName val="MA DE LOS ANGELES ARELLANO"/>
      <sheetName val="NORMA HILDA FLORES E"/>
      <sheetName val="PABLO ROBERTO DERAS MON"/>
      <sheetName val="JOSE AYUP BARKER"/>
      <sheetName val="LUIS ALBERTO MARTINEZ CH"/>
      <sheetName val="FERNANDO CASTAÑEDA LIMONES"/>
      <sheetName val="LUIS ANGEL CARRILLO HUERTA"/>
      <sheetName val="JOSE AYUP DEL BOSQUE"/>
      <sheetName val="RODOLFO AYUP GUERRERO"/>
      <sheetName val="PEDRO JUAREZ GARCIA"/>
      <sheetName val="PAMELA IVONNE ESCOBEDO"/>
      <sheetName val="ROSAVELIA HERNANDEZ LOPEZ"/>
      <sheetName val="MARIO ELIHEL SANCHEZ GLZ"/>
      <sheetName val="MARIA INES MORALES VAQUERA"/>
      <sheetName val="ROBERTO MONZALVO SALAZAR"/>
      <sheetName val="AXEL FABIAN"/>
      <sheetName val="JUANA SAUCEDO ORTIZ"/>
      <sheetName val="VICTOR HUGO FLORES"/>
      <sheetName val="FELIPE DE JESUS R"/>
      <sheetName val="NALLELY GUERRERO M"/>
      <sheetName val="ELIZABETH DE JESUS CAMARGO"/>
      <sheetName val="ENRIQUE RODRIGUEZ B"/>
      <sheetName val="RICARDO DAMIAN NAVARRO MEJIA"/>
      <sheetName val="LUIS ALONSO TERAN"/>
      <sheetName val="JAVIER MENDEZ"/>
      <sheetName val="MANUEL BARRAZA"/>
      <sheetName val="HUGO MARTELL"/>
      <sheetName val="JAVIER ESCALERA OCHOA"/>
      <sheetName val="SANTIAGO ARMANDO HERNANDE"/>
      <sheetName val="OVIDIO"/>
      <sheetName val="MARTHA MELENDEZ"/>
      <sheetName val="JESUS E. MASSU SIFUENT"/>
      <sheetName val="HERIBERTO ALVARADO DE LA C"/>
      <sheetName val="SANDRA ESCOBEDO SOTO"/>
      <sheetName val="SIGIFREDO MUÑOZ"/>
      <sheetName val="MIGUEL DIAZ GOMEZ"/>
      <sheetName val="JOSE ISMAEL ESPINOZA"/>
      <sheetName val="JUAN GUERRERO GUERRERO"/>
      <sheetName val="FERNANDO MEJIA OLIVA"/>
      <sheetName val="FRANCISCO GUTIERREZ"/>
      <sheetName val="EDMUNDO ARELLANO"/>
      <sheetName val="JESUS TREVIÑO SIFUENTES"/>
      <sheetName val="ALEJANDRO CASTOR TOVAR"/>
      <sheetName val="ALDO ALONSO TORRES G"/>
      <sheetName val="MIGUEL ANGEL HERNANDEZ PACHECO"/>
      <sheetName val="CARLOS GUADALUPE ORIGINALES"/>
      <sheetName val="RAFAEL HERNANDEZ"/>
      <sheetName val="SALVADOR GONZALEZ LEYVA"/>
      <sheetName val="SISTEMA COYOTE-GRANADA"/>
      <sheetName val="ABELARDO BALDERAS A"/>
      <sheetName val="MA DEL CARMEN ZARATE"/>
      <sheetName val="APOLINAR MENDOZA"/>
      <sheetName val="ANTONIO TEJEDA"/>
      <sheetName val="JAVIER RUIZ MONTES"/>
      <sheetName val="NYDIA ELIDA DE LOS SANTOS"/>
      <sheetName val="SONIA DE LOS SANTOS LUGO"/>
      <sheetName val="ERIKA URIBE GONZALEZ"/>
      <sheetName val="JUAN JESUS RUIZ HERNANDEZ"/>
      <sheetName val="ADAN MARTINEZ GONZALEZ"/>
      <sheetName val="CARMINA ESTALA"/>
      <sheetName val="RAUL URIBE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NOMINA DEL  16 AL 28 DE FEBRERO DEL 2017</v>
          </cell>
        </row>
      </sheetData>
      <sheetData sheetId="4">
        <row r="34">
          <cell r="AB34">
            <v>83988.385466666674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EGAR RECIBOS"/>
      <sheetName val="5  LAYOUT NOM 1 QUIN MARZ 17"/>
      <sheetName val="EVENTUAL"/>
      <sheetName val="BASE "/>
      <sheetName val="Hoja2"/>
      <sheetName val="Hoja1"/>
      <sheetName val="LUIS FERREL"/>
      <sheetName val="MA DE LOS ANGELES ARELLANO"/>
      <sheetName val="NORMA HILDA FLORES E"/>
      <sheetName val="PABLO ROBERTO DERAS MON"/>
      <sheetName val="JOSE AYUP BARKER"/>
      <sheetName val="LUIS ALBERTO MARTINEZ CH"/>
      <sheetName val="FERNANDO CASTAÑEDA LIMONES"/>
      <sheetName val="LUIS ANGEL CARRILLO HUERTA"/>
      <sheetName val="JOSE AYUP DEL BOSQUE"/>
      <sheetName val="RODOLFO AYUP GUERRERO"/>
      <sheetName val="PEDRO JUAREZ GARCIA"/>
      <sheetName val="PAMELA IVONNE ESCOBEDO"/>
      <sheetName val="ROSAVELIA HERNANDEZ LOPEZ"/>
      <sheetName val="MARIO ELIHEL SANCHEZ GLZ"/>
      <sheetName val="MARIA INES MORALES VAQUERA"/>
      <sheetName val="ROBERTO MONZALVO SALAZAR"/>
      <sheetName val="AXEL FABIAN"/>
      <sheetName val="JUANA SAUCEDO ORTIZ"/>
      <sheetName val="VICTOR HUGO FLORES"/>
      <sheetName val="FELIPE DE JESUS R"/>
      <sheetName val="NALLELY GUERRERO M"/>
      <sheetName val="ELIZABETH DE JESUS CAMARGO"/>
      <sheetName val="ENRIQUE RODRIGUEZ B"/>
      <sheetName val="RICARDO DAMIAN NAVARRO MEJIA"/>
      <sheetName val="LUIS ALONSO TERAN"/>
      <sheetName val="JAVIER MENDEZ"/>
      <sheetName val="MANUEL BARRAZA"/>
      <sheetName val="HUGO MARTELL"/>
      <sheetName val="JAVIER ESCALERA OCHOA"/>
      <sheetName val="SANTIAGO ARMANDO HERNANDE"/>
      <sheetName val="OVIDIO"/>
      <sheetName val="MARTHA MELENDEZ"/>
      <sheetName val="JESUS E. MASSU SIFUENT"/>
      <sheetName val="HERIBERTO ALVARADO DE LA C"/>
      <sheetName val="SANDRA ESCOBEDO SOTO"/>
      <sheetName val="SIGIFREDO MUÑOZ"/>
      <sheetName val="MIGUEL DIAZ GOMEZ"/>
      <sheetName val="JOSE ISMAEL ESPINOZA"/>
      <sheetName val="JUAN GUERRERO GUERRERO"/>
      <sheetName val="FERNANDO MEJIA OLIVA"/>
      <sheetName val="FRANCISCO GUTIERREZ"/>
      <sheetName val="EDMUNDO ARELLANO"/>
      <sheetName val="JESUS TREVIÑO SIFUENTES"/>
      <sheetName val="ALEJANDRO CASTOR TOVAR"/>
      <sheetName val="ALDO ALONSO TORRES G"/>
      <sheetName val="MIGUEL ANGEL HERNANDEZ PACHECO"/>
      <sheetName val="CARLOS GUADALUPE ORIGINALES"/>
      <sheetName val="RAFAEL HERNANDEZ"/>
      <sheetName val="SALVADOR GONZALEZ LEYVA"/>
      <sheetName val="SISTEMA COYOTE-GRANADA"/>
      <sheetName val="ABELARDO BALDERAS A"/>
      <sheetName val="MA DEL CARMEN ZARATE"/>
      <sheetName val="APOLINAR MENDOZA"/>
      <sheetName val="ANTONIO TEJEDA"/>
      <sheetName val="JAVIER RUIZ MONTES"/>
      <sheetName val="NYDIA ELIDA DE LOS SANTOS"/>
      <sheetName val="SONIA DE LOS SANTOS LUGO"/>
      <sheetName val="ERIKA URIBE GONZALEZ"/>
      <sheetName val="JUAN JESUS RUIZ HERNANDEZ"/>
      <sheetName val="ADAN MARTINEZ GONZALEZ"/>
      <sheetName val="CARMINA ESTALA"/>
      <sheetName val="RAUL URIBE"/>
    </sheetNames>
    <sheetDataSet>
      <sheetData sheetId="0" refreshError="1"/>
      <sheetData sheetId="1" refreshError="1"/>
      <sheetData sheetId="2">
        <row r="2">
          <cell r="J2" t="str">
            <v>NOMINA DEL  01 AL 15 DE FEBRERO DEL 2017</v>
          </cell>
        </row>
      </sheetData>
      <sheetData sheetId="3">
        <row r="34">
          <cell r="AB34">
            <v>86142.102466666678</v>
          </cell>
        </row>
        <row r="85">
          <cell r="AB85">
            <v>15707.491333333332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EGAR RECIBOS"/>
      <sheetName val="6  LAYOUT NOM 2 QUIN MARZ 17"/>
      <sheetName val="EVENTUAL"/>
      <sheetName val="BASE "/>
      <sheetName val="Hoja2"/>
      <sheetName val="Hoja1"/>
      <sheetName val="LUIS FERREL"/>
      <sheetName val="MA DE LOS ANGELES ARELLANO"/>
      <sheetName val="NORMA HILDA FLORES E"/>
      <sheetName val="PABLO ROBERTO DERAS MON"/>
      <sheetName val="JOSE AYUP BARKER"/>
      <sheetName val="LUIS ALBERTO MARTINEZ CH"/>
      <sheetName val="FERNANDO CASTAÑEDA LIMONES"/>
      <sheetName val="LUIS ANGEL CARRILLO HUERTA"/>
      <sheetName val="JOSE AYUP DEL BOSQUE"/>
      <sheetName val="RODOLFO AYUP GUERRERO"/>
      <sheetName val="PEDRO JUAREZ GARCIA"/>
      <sheetName val="PAMELA IVONNE ESCOBEDO"/>
      <sheetName val="ROSAVELIA HERNANDEZ LOPEZ"/>
      <sheetName val="MARIO ELIHEL SANCHEZ GLZ"/>
      <sheetName val="MARIA INES MORALES VAQUERA"/>
      <sheetName val="ROBERTO MONZALVO SALAZAR"/>
      <sheetName val="AXEL FABIAN"/>
      <sheetName val="JUANA SAUCEDO ORTIZ"/>
      <sheetName val="VICTOR HUGO FLORES"/>
      <sheetName val="FELIPE DE JESUS R"/>
      <sheetName val="NALLELY GUERRERO M"/>
      <sheetName val="ELIZABETH DE JESUS CAMARGO"/>
      <sheetName val="ENRIQUE RODRIGUEZ B"/>
      <sheetName val="RICARDO DAMIAN NAVARRO MEJIA"/>
      <sheetName val="LUIS ALONSO TERAN"/>
      <sheetName val="JAVIER MENDEZ"/>
      <sheetName val="MANUEL BARRAZA"/>
      <sheetName val="HUGO MARTELL"/>
      <sheetName val="JAVIER ESCALERA OCHOA"/>
      <sheetName val="SANTIAGO ARMANDO HERNANDE"/>
      <sheetName val="OVIDIO"/>
      <sheetName val="MARTHA MELENDEZ"/>
      <sheetName val="JESUS E. MASSU SIFUENT"/>
      <sheetName val="HERIBERTO ALVARADO DE LA C"/>
      <sheetName val="SANDRA ESCOBEDO SOTO"/>
      <sheetName val="SIGIFREDO MUÑOZ"/>
      <sheetName val="MIGUEL DIAZ GOMEZ"/>
      <sheetName val="JOSE ISMAEL ESPINOZA"/>
      <sheetName val="JUAN GUERRERO GUERRERO"/>
      <sheetName val="FERNANDO MEJIA OLIVA"/>
      <sheetName val="FRANCISCO GUTIERREZ"/>
      <sheetName val="EDMUNDO ARELLANO"/>
      <sheetName val="JESUS TREVIÑO SIFUENTES"/>
      <sheetName val="ALEJANDRO CASTOR TOVAR"/>
      <sheetName val="ALDO ALONSO TORRES G"/>
      <sheetName val="MIGUEL ANGEL HERNANDEZ PACHECO"/>
      <sheetName val="CARLOS GUADALUPE ORIGINALES"/>
      <sheetName val="RAFAEL HERNANDEZ"/>
      <sheetName val="SALVADOR GONZALEZ LEYVA"/>
      <sheetName val="SISTEMA COYOTE-GRANADA"/>
      <sheetName val="ABELARDO BALDERAS A"/>
      <sheetName val="MA DEL CARMEN ZARATE"/>
      <sheetName val="APOLINAR MENDOZA"/>
      <sheetName val="ANTONIO TEJEDA"/>
      <sheetName val="JAVIER RUIZ MONTES"/>
      <sheetName val="NYDIA ELIDA DE LOS SANTOS"/>
      <sheetName val="SONIA DE LOS SANTOS LUGO"/>
      <sheetName val="ERIKA URIBE GONZALEZ"/>
      <sheetName val="JUAN JESUS RUIZ HERNANDEZ"/>
      <sheetName val="ADAN MARTINEZ GONZALEZ"/>
      <sheetName val="CARMINA ESTALA"/>
      <sheetName val="RAUL URIBE"/>
    </sheetNames>
    <sheetDataSet>
      <sheetData sheetId="0" refreshError="1"/>
      <sheetData sheetId="1" refreshError="1"/>
      <sheetData sheetId="2">
        <row r="2">
          <cell r="J2" t="str">
            <v>NOMINA DEL  15 AL 31 DE MARZO DEL 2017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2"/>
  <sheetViews>
    <sheetView topLeftCell="A76" workbookViewId="0">
      <selection activeCell="D95" sqref="D95"/>
    </sheetView>
  </sheetViews>
  <sheetFormatPr baseColWidth="10" defaultRowHeight="15" x14ac:dyDescent="0.25"/>
  <cols>
    <col min="1" max="1" width="11.5703125" style="2"/>
    <col min="2" max="2" width="11.42578125" style="5"/>
    <col min="3" max="3" width="30.5703125" style="2" customWidth="1"/>
    <col min="4" max="4" width="28.7109375" style="2" bestFit="1" customWidth="1"/>
    <col min="5" max="6" width="10.42578125" style="2" customWidth="1"/>
    <col min="7" max="7" width="9" style="2" customWidth="1"/>
    <col min="8" max="8" width="10" style="2" bestFit="1" customWidth="1"/>
    <col min="9" max="9" width="9.5703125" style="2" bestFit="1" customWidth="1"/>
    <col min="10" max="10" width="9.7109375" style="2" bestFit="1" customWidth="1"/>
    <col min="11" max="11" width="9.5703125" style="2" bestFit="1" customWidth="1"/>
    <col min="12" max="12" width="11" style="2" bestFit="1" customWidth="1"/>
    <col min="13" max="13" width="12.42578125" style="2" bestFit="1" customWidth="1"/>
  </cols>
  <sheetData>
    <row r="2" spans="1:16" ht="14.45" x14ac:dyDescent="0.3">
      <c r="B2" s="204" t="s">
        <v>144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6" ht="14.45" x14ac:dyDescent="0.3">
      <c r="B3" s="205" t="s">
        <v>145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6" ht="12" customHeight="1" x14ac:dyDescent="0.3">
      <c r="A4" s="31"/>
      <c r="B4" s="206">
        <v>42736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16" ht="12" customHeight="1" x14ac:dyDescent="0.3">
      <c r="A5" s="31"/>
      <c r="C5" s="34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ht="12" customHeight="1" x14ac:dyDescent="0.3">
      <c r="A6" s="31"/>
      <c r="C6" s="34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16.5" customHeight="1" x14ac:dyDescent="0.25">
      <c r="A7" s="1" t="s">
        <v>245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6" ht="16.5" customHeight="1" thickBot="1" x14ac:dyDescent="0.3">
      <c r="A8" s="2" t="s">
        <v>298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6" ht="21" thickBot="1" x14ac:dyDescent="0.3">
      <c r="A9" s="8" t="s">
        <v>0</v>
      </c>
      <c r="B9" s="36" t="s">
        <v>143</v>
      </c>
      <c r="C9" s="37" t="s">
        <v>142</v>
      </c>
      <c r="D9" s="7" t="s">
        <v>136</v>
      </c>
      <c r="E9" s="38" t="s">
        <v>55</v>
      </c>
      <c r="F9" s="39" t="s">
        <v>1</v>
      </c>
      <c r="G9" s="40" t="s">
        <v>56</v>
      </c>
      <c r="H9" s="41" t="s">
        <v>140</v>
      </c>
      <c r="I9" s="41" t="s">
        <v>138</v>
      </c>
      <c r="J9" s="38" t="s">
        <v>137</v>
      </c>
      <c r="K9" s="38" t="s">
        <v>139</v>
      </c>
      <c r="L9" s="7" t="s">
        <v>135</v>
      </c>
      <c r="M9" s="8" t="s">
        <v>141</v>
      </c>
    </row>
    <row r="10" spans="1:16" ht="13.5" customHeight="1" x14ac:dyDescent="0.3">
      <c r="A10" s="33">
        <v>1</v>
      </c>
      <c r="B10" s="24" t="s">
        <v>153</v>
      </c>
      <c r="C10" s="23" t="s">
        <v>5</v>
      </c>
      <c r="D10" s="3" t="s">
        <v>4</v>
      </c>
      <c r="E10" s="42">
        <f>'EB1'!T6+'EB2'!T6</f>
        <v>10021.918000000001</v>
      </c>
      <c r="F10" s="42">
        <f>'EB1'!U6+'EB2'!U6</f>
        <v>1052.6100000000001</v>
      </c>
      <c r="G10" s="42">
        <f>'EB1'!V6+'EB2'!V6</f>
        <v>144.72</v>
      </c>
      <c r="H10" s="42">
        <f>F10+G10</f>
        <v>1197.3300000000002</v>
      </c>
      <c r="I10" s="42">
        <f>E10-H10</f>
        <v>8824.5880000000016</v>
      </c>
      <c r="J10" s="42">
        <f>'EB1'!AA6+'EB2'!AA6</f>
        <v>1234.4299999999998</v>
      </c>
      <c r="K10" s="42">
        <f>I10-J10</f>
        <v>7590.1580000000013</v>
      </c>
      <c r="L10" s="3" t="s">
        <v>3</v>
      </c>
      <c r="M10" s="16" t="s">
        <v>2</v>
      </c>
      <c r="P10" s="101"/>
    </row>
    <row r="11" spans="1:16" ht="13.5" customHeight="1" x14ac:dyDescent="0.3">
      <c r="A11" s="33">
        <v>2</v>
      </c>
      <c r="B11" s="24" t="s">
        <v>154</v>
      </c>
      <c r="C11" s="19" t="s">
        <v>8</v>
      </c>
      <c r="D11" s="4" t="s">
        <v>7</v>
      </c>
      <c r="E11" s="42">
        <f>'EB1'!T7+'EB2'!T7</f>
        <v>13060.815999999999</v>
      </c>
      <c r="F11" s="42">
        <f>'EB1'!U7+'EB2'!U7</f>
        <v>1695.4</v>
      </c>
      <c r="G11" s="42">
        <f>'EB1'!V7+'EB2'!V7</f>
        <v>222.98</v>
      </c>
      <c r="H11" s="42">
        <f t="shared" ref="H11:H74" si="0">F11+G11</f>
        <v>1918.38</v>
      </c>
      <c r="I11" s="42">
        <f t="shared" ref="I11:I74" si="1">E11-H11</f>
        <v>11142.435999999998</v>
      </c>
      <c r="J11" s="42">
        <f>'EB1'!AA7+'EB2'!AA7</f>
        <v>1965.2</v>
      </c>
      <c r="K11" s="42">
        <f t="shared" ref="K11:K74" si="2">I11-J11</f>
        <v>9177.2359999999971</v>
      </c>
      <c r="L11" s="4" t="s">
        <v>3</v>
      </c>
      <c r="M11" s="17" t="s">
        <v>6</v>
      </c>
      <c r="P11" s="101"/>
    </row>
    <row r="12" spans="1:16" ht="13.5" customHeight="1" x14ac:dyDescent="0.25">
      <c r="A12" s="33">
        <v>3</v>
      </c>
      <c r="B12" s="24" t="s">
        <v>161</v>
      </c>
      <c r="C12" s="19" t="s">
        <v>10</v>
      </c>
      <c r="D12" s="4" t="s">
        <v>9</v>
      </c>
      <c r="E12" s="42">
        <f>'EB1'!T8+'EB2'!T8</f>
        <v>7143.4746666666661</v>
      </c>
      <c r="F12" s="42">
        <f>'EB1'!U8+'EB2'!U8</f>
        <v>569.04</v>
      </c>
      <c r="G12" s="42">
        <f>'EB1'!V8+'EB2'!V8</f>
        <v>93.86</v>
      </c>
      <c r="H12" s="42">
        <f t="shared" si="0"/>
        <v>662.9</v>
      </c>
      <c r="I12" s="42">
        <f t="shared" si="1"/>
        <v>6480.5746666666664</v>
      </c>
      <c r="J12" s="42">
        <f>'EB1'!AA8+'EB2'!AA8</f>
        <v>1526.6599999999999</v>
      </c>
      <c r="K12" s="42">
        <f t="shared" si="2"/>
        <v>4953.9146666666666</v>
      </c>
      <c r="L12" s="4" t="s">
        <v>3</v>
      </c>
      <c r="M12" s="17" t="s">
        <v>6</v>
      </c>
      <c r="P12" s="101"/>
    </row>
    <row r="13" spans="1:16" ht="13.5" customHeight="1" x14ac:dyDescent="0.25">
      <c r="A13" s="33">
        <v>4</v>
      </c>
      <c r="B13" s="24" t="s">
        <v>164</v>
      </c>
      <c r="C13" s="19" t="s">
        <v>169</v>
      </c>
      <c r="D13" s="4" t="s">
        <v>9</v>
      </c>
      <c r="E13" s="42">
        <f>'EB1'!T9+'EB2'!T9</f>
        <v>8981.1673333333347</v>
      </c>
      <c r="F13" s="42">
        <f>'EB1'!U9+'EB2'!U9</f>
        <v>866.43000000000006</v>
      </c>
      <c r="G13" s="42">
        <f>'EB1'!V9+'EB2'!V9</f>
        <v>96.22</v>
      </c>
      <c r="H13" s="42">
        <f t="shared" si="0"/>
        <v>962.65000000000009</v>
      </c>
      <c r="I13" s="42">
        <f t="shared" si="1"/>
        <v>8018.517333333335</v>
      </c>
      <c r="J13" s="42">
        <f>'EB1'!AA9+'EB2'!AA9</f>
        <v>2254.0500000000002</v>
      </c>
      <c r="K13" s="42">
        <f t="shared" si="2"/>
        <v>5764.4673333333349</v>
      </c>
      <c r="L13" s="4" t="s">
        <v>3</v>
      </c>
      <c r="M13" s="17" t="s">
        <v>6</v>
      </c>
      <c r="P13" s="101"/>
    </row>
    <row r="14" spans="1:16" ht="13.5" customHeight="1" x14ac:dyDescent="0.25">
      <c r="A14" s="33">
        <v>5</v>
      </c>
      <c r="B14" s="24" t="s">
        <v>167</v>
      </c>
      <c r="C14" s="19" t="s">
        <v>13</v>
      </c>
      <c r="D14" s="4" t="s">
        <v>12</v>
      </c>
      <c r="E14" s="42">
        <f>'EB1'!T10+'EB2'!T10</f>
        <v>8439.5139999999992</v>
      </c>
      <c r="F14" s="42">
        <f>'EB1'!U10+'EB2'!U10</f>
        <v>771.43000000000006</v>
      </c>
      <c r="G14" s="42">
        <f>'EB1'!V10+'EB2'!V10</f>
        <v>101.72</v>
      </c>
      <c r="H14" s="42">
        <f t="shared" si="0"/>
        <v>873.15000000000009</v>
      </c>
      <c r="I14" s="42">
        <f t="shared" si="1"/>
        <v>7566.3639999999996</v>
      </c>
      <c r="J14" s="42">
        <f>'EB1'!AA10+'EB2'!AA10</f>
        <v>1907.85</v>
      </c>
      <c r="K14" s="42">
        <f t="shared" si="2"/>
        <v>5658.5139999999992</v>
      </c>
      <c r="L14" s="4" t="s">
        <v>3</v>
      </c>
      <c r="M14" s="17" t="s">
        <v>11</v>
      </c>
      <c r="P14" s="101"/>
    </row>
    <row r="15" spans="1:16" ht="13.5" customHeight="1" x14ac:dyDescent="0.25">
      <c r="A15" s="33">
        <v>6</v>
      </c>
      <c r="B15" s="24" t="s">
        <v>148</v>
      </c>
      <c r="C15" s="20" t="s">
        <v>16</v>
      </c>
      <c r="D15" s="4" t="s">
        <v>15</v>
      </c>
      <c r="E15" s="42">
        <f>'EB1'!T11+'EB2'!T11</f>
        <v>8292.31</v>
      </c>
      <c r="F15" s="42">
        <f>'EB1'!U11+'EB2'!U11</f>
        <v>749.88000000000011</v>
      </c>
      <c r="G15" s="42">
        <f>'EB1'!V11+'EB2'!V11</f>
        <v>88.56</v>
      </c>
      <c r="H15" s="42">
        <f t="shared" si="0"/>
        <v>838.44</v>
      </c>
      <c r="I15" s="42">
        <f t="shared" si="1"/>
        <v>7453.869999999999</v>
      </c>
      <c r="J15" s="42">
        <f>'EB1'!AA11+'EB2'!AA11</f>
        <v>876.61640000000011</v>
      </c>
      <c r="K15" s="42">
        <f t="shared" si="2"/>
        <v>6577.2535999999991</v>
      </c>
      <c r="L15" s="4" t="s">
        <v>3</v>
      </c>
      <c r="M15" s="17" t="s">
        <v>14</v>
      </c>
      <c r="P15" s="101"/>
    </row>
    <row r="16" spans="1:16" ht="13.5" customHeight="1" x14ac:dyDescent="0.3">
      <c r="A16" s="33">
        <v>7</v>
      </c>
      <c r="B16" s="24" t="s">
        <v>149</v>
      </c>
      <c r="C16" s="20" t="s">
        <v>18</v>
      </c>
      <c r="D16" s="4" t="s">
        <v>15</v>
      </c>
      <c r="E16" s="42">
        <f>'EB1'!T12+'EB2'!T12</f>
        <v>8400.1993333333339</v>
      </c>
      <c r="F16" s="42">
        <f>'EB1'!U12+'EB2'!U12</f>
        <v>762.98</v>
      </c>
      <c r="G16" s="42">
        <f>'EB1'!V12+'EB2'!V12</f>
        <v>120.34</v>
      </c>
      <c r="H16" s="42">
        <f t="shared" si="0"/>
        <v>883.32</v>
      </c>
      <c r="I16" s="42">
        <f t="shared" si="1"/>
        <v>7516.8793333333342</v>
      </c>
      <c r="J16" s="42">
        <f>'EB1'!AA12+'EB2'!AA12</f>
        <v>2256.86</v>
      </c>
      <c r="K16" s="42">
        <f t="shared" si="2"/>
        <v>5260.0193333333336</v>
      </c>
      <c r="L16" s="4" t="s">
        <v>3</v>
      </c>
      <c r="M16" s="17" t="s">
        <v>14</v>
      </c>
      <c r="P16" s="101"/>
    </row>
    <row r="17" spans="1:16" ht="13.5" customHeight="1" x14ac:dyDescent="0.3">
      <c r="A17" s="33">
        <v>8</v>
      </c>
      <c r="B17" s="24" t="s">
        <v>156</v>
      </c>
      <c r="C17" s="19" t="s">
        <v>19</v>
      </c>
      <c r="D17" s="4" t="s">
        <v>15</v>
      </c>
      <c r="E17" s="42">
        <f>'EB1'!T13+'EB2'!T13</f>
        <v>8944.3426666666655</v>
      </c>
      <c r="F17" s="42">
        <f>'EB1'!U13+'EB2'!U13</f>
        <v>857.83</v>
      </c>
      <c r="G17" s="42">
        <f>'EB1'!V13+'EB2'!V13</f>
        <v>71.459999999999994</v>
      </c>
      <c r="H17" s="42">
        <f t="shared" si="0"/>
        <v>929.29000000000008</v>
      </c>
      <c r="I17" s="42">
        <f t="shared" si="1"/>
        <v>8015.0526666666656</v>
      </c>
      <c r="J17" s="42">
        <f>'EB1'!AA13+'EB2'!AA13</f>
        <v>2248.17</v>
      </c>
      <c r="K17" s="42">
        <f t="shared" si="2"/>
        <v>5766.8826666666655</v>
      </c>
      <c r="L17" s="4" t="s">
        <v>3</v>
      </c>
      <c r="M17" s="17" t="s">
        <v>14</v>
      </c>
      <c r="P17" s="101"/>
    </row>
    <row r="18" spans="1:16" ht="13.5" customHeight="1" x14ac:dyDescent="0.3">
      <c r="A18" s="33">
        <v>9</v>
      </c>
      <c r="B18" s="25" t="s">
        <v>165</v>
      </c>
      <c r="C18" s="20" t="s">
        <v>21</v>
      </c>
      <c r="D18" s="4" t="s">
        <v>17</v>
      </c>
      <c r="E18" s="42">
        <f>'EB1'!T14+'EB2'!T14</f>
        <v>7175.2460000000001</v>
      </c>
      <c r="F18" s="42">
        <f>'EB1'!U14+'EB2'!U14</f>
        <v>465.07000000000005</v>
      </c>
      <c r="G18" s="42">
        <f>'EB1'!V14+'EB2'!V14</f>
        <v>85.64</v>
      </c>
      <c r="H18" s="42">
        <f t="shared" si="0"/>
        <v>550.71</v>
      </c>
      <c r="I18" s="42">
        <f t="shared" si="1"/>
        <v>6624.5360000000001</v>
      </c>
      <c r="J18" s="42">
        <f>'EB1'!AA14+'EB2'!AA14</f>
        <v>2069.5100000000002</v>
      </c>
      <c r="K18" s="42">
        <f t="shared" si="2"/>
        <v>4555.0259999999998</v>
      </c>
      <c r="L18" s="4" t="s">
        <v>20</v>
      </c>
      <c r="M18" s="18" t="s">
        <v>14</v>
      </c>
      <c r="P18" s="101"/>
    </row>
    <row r="19" spans="1:16" ht="13.5" customHeight="1" x14ac:dyDescent="0.3">
      <c r="A19" s="33">
        <v>10</v>
      </c>
      <c r="B19" s="25" t="s">
        <v>166</v>
      </c>
      <c r="C19" s="20" t="s">
        <v>22</v>
      </c>
      <c r="D19" s="4" t="s">
        <v>17</v>
      </c>
      <c r="E19" s="42">
        <f>'EB1'!T15+'EB2'!T15</f>
        <v>5902.5820000000003</v>
      </c>
      <c r="F19" s="42">
        <f>'EB1'!U15+'EB2'!U15</f>
        <v>143.32999999999998</v>
      </c>
      <c r="G19" s="42">
        <f>'EB1'!V15+'EB2'!V15</f>
        <v>60.26</v>
      </c>
      <c r="H19" s="42">
        <f t="shared" si="0"/>
        <v>203.58999999999997</v>
      </c>
      <c r="I19" s="42">
        <f t="shared" si="1"/>
        <v>5698.9920000000002</v>
      </c>
      <c r="J19" s="42">
        <f>'EB1'!AA15+'EB2'!AA15</f>
        <v>227.84999999999997</v>
      </c>
      <c r="K19" s="42">
        <f t="shared" si="2"/>
        <v>5471.1419999999998</v>
      </c>
      <c r="L19" s="4" t="s">
        <v>3</v>
      </c>
      <c r="M19" s="18" t="s">
        <v>14</v>
      </c>
      <c r="P19" s="101"/>
    </row>
    <row r="20" spans="1:16" ht="13.5" customHeight="1" x14ac:dyDescent="0.3">
      <c r="A20" s="33">
        <v>11</v>
      </c>
      <c r="B20" s="24" t="s">
        <v>146</v>
      </c>
      <c r="C20" s="19" t="s">
        <v>26</v>
      </c>
      <c r="D20" s="4" t="s">
        <v>25</v>
      </c>
      <c r="E20" s="42">
        <f>'EB1'!T16+'EB2'!T16</f>
        <v>3224.6940000000004</v>
      </c>
      <c r="F20" s="42">
        <f>'EB1'!U16+'EB2'!U16</f>
        <v>0</v>
      </c>
      <c r="G20" s="42">
        <f>'EB1'!V16+'EB2'!V16</f>
        <v>45.68</v>
      </c>
      <c r="H20" s="42">
        <f t="shared" si="0"/>
        <v>45.68</v>
      </c>
      <c r="I20" s="42">
        <f t="shared" si="1"/>
        <v>3179.0140000000006</v>
      </c>
      <c r="J20" s="42">
        <f>'EB1'!AA16+'EB2'!AA16</f>
        <v>45.68</v>
      </c>
      <c r="K20" s="42">
        <f t="shared" si="2"/>
        <v>3133.3340000000007</v>
      </c>
      <c r="L20" s="4" t="s">
        <v>20</v>
      </c>
      <c r="M20" s="17" t="s">
        <v>24</v>
      </c>
      <c r="P20" s="101"/>
    </row>
    <row r="21" spans="1:16" ht="13.5" customHeight="1" x14ac:dyDescent="0.3">
      <c r="A21" s="33">
        <v>12</v>
      </c>
      <c r="B21" s="24" t="s">
        <v>147</v>
      </c>
      <c r="C21" s="19" t="s">
        <v>27</v>
      </c>
      <c r="D21" s="4" t="s">
        <v>25</v>
      </c>
      <c r="E21" s="42">
        <f>'EB1'!T17+'EB2'!T17</f>
        <v>6113.8086666666659</v>
      </c>
      <c r="F21" s="42">
        <f>'EB1'!U17+'EB2'!U17</f>
        <v>112.67</v>
      </c>
      <c r="G21" s="42">
        <f>'EB1'!V17+'EB2'!V17</f>
        <v>103.36</v>
      </c>
      <c r="H21" s="42">
        <f t="shared" si="0"/>
        <v>216.03</v>
      </c>
      <c r="I21" s="42">
        <f t="shared" si="1"/>
        <v>5897.7786666666661</v>
      </c>
      <c r="J21" s="42">
        <f>'EB1'!AA17+'EB2'!AA17</f>
        <v>1388.69</v>
      </c>
      <c r="K21" s="42">
        <f t="shared" si="2"/>
        <v>4509.0886666666665</v>
      </c>
      <c r="L21" s="4" t="s">
        <v>20</v>
      </c>
      <c r="M21" s="17" t="s">
        <v>24</v>
      </c>
      <c r="P21" s="101"/>
    </row>
    <row r="22" spans="1:16" ht="13.5" customHeight="1" x14ac:dyDescent="0.25">
      <c r="A22" s="33">
        <v>13</v>
      </c>
      <c r="B22" s="24" t="s">
        <v>150</v>
      </c>
      <c r="C22" s="20" t="s">
        <v>29</v>
      </c>
      <c r="D22" s="4" t="s">
        <v>28</v>
      </c>
      <c r="E22" s="42">
        <f>'EB1'!T18+'EB2'!T18</f>
        <v>11537.706666666669</v>
      </c>
      <c r="F22" s="42">
        <f>'EB1'!U18+'EB2'!U18</f>
        <v>1370.07</v>
      </c>
      <c r="G22" s="42">
        <f>'EB1'!V18+'EB2'!V18</f>
        <v>222.98</v>
      </c>
      <c r="H22" s="42">
        <f t="shared" si="0"/>
        <v>1593.05</v>
      </c>
      <c r="I22" s="42">
        <f t="shared" si="1"/>
        <v>9944.6566666666695</v>
      </c>
      <c r="J22" s="42">
        <f>'EB1'!AA18+'EB2'!AA18</f>
        <v>1673.79</v>
      </c>
      <c r="K22" s="42">
        <f t="shared" si="2"/>
        <v>8270.8666666666686</v>
      </c>
      <c r="L22" s="4" t="s">
        <v>3</v>
      </c>
      <c r="M22" s="17" t="s">
        <v>24</v>
      </c>
      <c r="P22" s="101"/>
    </row>
    <row r="23" spans="1:16" ht="13.5" customHeight="1" x14ac:dyDescent="0.3">
      <c r="A23" s="33">
        <v>14</v>
      </c>
      <c r="B23" s="24" t="s">
        <v>151</v>
      </c>
      <c r="C23" s="20" t="s">
        <v>31</v>
      </c>
      <c r="D23" s="4" t="s">
        <v>30</v>
      </c>
      <c r="E23" s="42">
        <f>'EB1'!T19+'EB2'!T19</f>
        <v>7403.7079999999996</v>
      </c>
      <c r="F23" s="42">
        <f>'EB1'!U19+'EB2'!U19</f>
        <v>488.84999999999997</v>
      </c>
      <c r="G23" s="42">
        <f>'EB1'!V19+'EB2'!V19</f>
        <v>129.41999999999999</v>
      </c>
      <c r="H23" s="42">
        <f t="shared" si="0"/>
        <v>618.27</v>
      </c>
      <c r="I23" s="42">
        <f t="shared" si="1"/>
        <v>6785.4380000000001</v>
      </c>
      <c r="J23" s="42">
        <f>'EB1'!AA19+'EB2'!AA19</f>
        <v>664.77</v>
      </c>
      <c r="K23" s="42">
        <f t="shared" si="2"/>
        <v>6120.6679999999997</v>
      </c>
      <c r="L23" s="4" t="s">
        <v>3</v>
      </c>
      <c r="M23" s="17" t="s">
        <v>24</v>
      </c>
      <c r="P23" s="101"/>
    </row>
    <row r="24" spans="1:16" ht="13.5" customHeight="1" x14ac:dyDescent="0.3">
      <c r="A24" s="33">
        <v>15</v>
      </c>
      <c r="B24" s="24" t="s">
        <v>152</v>
      </c>
      <c r="C24" s="19" t="s">
        <v>32</v>
      </c>
      <c r="D24" s="4" t="s">
        <v>30</v>
      </c>
      <c r="E24" s="42">
        <f>'EB1'!T20+'EB2'!T20</f>
        <v>6200.8326666666671</v>
      </c>
      <c r="F24" s="42">
        <f>'EB1'!U20+'EB2'!U20</f>
        <v>196.03</v>
      </c>
      <c r="G24" s="42">
        <f>'EB1'!V20+'EB2'!V20</f>
        <v>70.66</v>
      </c>
      <c r="H24" s="42">
        <f t="shared" si="0"/>
        <v>266.69</v>
      </c>
      <c r="I24" s="42">
        <f t="shared" si="1"/>
        <v>5934.1426666666675</v>
      </c>
      <c r="J24" s="42">
        <f>'EB1'!AA20+'EB2'!AA20</f>
        <v>970.87</v>
      </c>
      <c r="K24" s="42">
        <f t="shared" si="2"/>
        <v>4963.2726666666676</v>
      </c>
      <c r="L24" s="4" t="s">
        <v>3</v>
      </c>
      <c r="M24" s="17" t="s">
        <v>24</v>
      </c>
      <c r="P24" s="101"/>
    </row>
    <row r="25" spans="1:16" ht="13.5" customHeight="1" x14ac:dyDescent="0.3">
      <c r="A25" s="33">
        <v>16</v>
      </c>
      <c r="B25" s="24" t="s">
        <v>155</v>
      </c>
      <c r="C25" s="19" t="s">
        <v>34</v>
      </c>
      <c r="D25" s="4" t="s">
        <v>305</v>
      </c>
      <c r="E25" s="42">
        <f>'EB1'!T21+'EB2'!T21</f>
        <v>10618.045999999998</v>
      </c>
      <c r="F25" s="42">
        <f>'EB1'!U21+'EB2'!U21</f>
        <v>1179.4299999999998</v>
      </c>
      <c r="G25" s="42">
        <f>'EB1'!V21+'EB2'!V21</f>
        <v>179.78</v>
      </c>
      <c r="H25" s="42">
        <f t="shared" si="0"/>
        <v>1359.2099999999998</v>
      </c>
      <c r="I25" s="42">
        <f t="shared" si="1"/>
        <v>9258.8359999999993</v>
      </c>
      <c r="J25" s="42">
        <f>'EB1'!AA21+'EB2'!AA21</f>
        <v>1359.21</v>
      </c>
      <c r="K25" s="42">
        <f t="shared" si="2"/>
        <v>7899.6259999999993</v>
      </c>
      <c r="L25" s="4" t="s">
        <v>20</v>
      </c>
      <c r="M25" s="17" t="s">
        <v>24</v>
      </c>
      <c r="P25" s="101"/>
    </row>
    <row r="26" spans="1:16" ht="13.5" customHeight="1" x14ac:dyDescent="0.3">
      <c r="A26" s="33">
        <v>17</v>
      </c>
      <c r="B26" s="24" t="s">
        <v>157</v>
      </c>
      <c r="C26" s="19" t="s">
        <v>35</v>
      </c>
      <c r="D26" s="4" t="s">
        <v>30</v>
      </c>
      <c r="E26" s="42">
        <f>'EB1'!T22+'EB2'!T22</f>
        <v>4680.7233333333334</v>
      </c>
      <c r="F26" s="42">
        <f>'EB1'!U22+'EB2'!U22</f>
        <v>0</v>
      </c>
      <c r="G26" s="42">
        <f>'EB1'!V22+'EB2'!V22</f>
        <v>64.739999999999995</v>
      </c>
      <c r="H26" s="42">
        <f t="shared" si="0"/>
        <v>64.739999999999995</v>
      </c>
      <c r="I26" s="42">
        <f t="shared" si="1"/>
        <v>4615.9833333333336</v>
      </c>
      <c r="J26" s="42">
        <f>'EB1'!AA22+'EB2'!AA22</f>
        <v>896.04</v>
      </c>
      <c r="K26" s="42">
        <f t="shared" si="2"/>
        <v>3719.9433333333336</v>
      </c>
      <c r="L26" s="4" t="s">
        <v>3</v>
      </c>
      <c r="M26" s="17" t="s">
        <v>24</v>
      </c>
      <c r="P26" s="101"/>
    </row>
    <row r="27" spans="1:16" ht="13.5" customHeight="1" x14ac:dyDescent="0.3">
      <c r="A27" s="33">
        <v>18</v>
      </c>
      <c r="B27" s="24" t="s">
        <v>158</v>
      </c>
      <c r="C27" s="19" t="s">
        <v>36</v>
      </c>
      <c r="D27" s="4" t="s">
        <v>306</v>
      </c>
      <c r="E27" s="42">
        <f>'EB1'!T23+'EB2'!T23</f>
        <v>9790.8283999999985</v>
      </c>
      <c r="F27" s="42">
        <f>'EB1'!U23+'EB2'!U23</f>
        <v>941.58999999999992</v>
      </c>
      <c r="G27" s="42">
        <f>'EB1'!V23+'EB2'!V23</f>
        <v>184.82</v>
      </c>
      <c r="H27" s="42">
        <f t="shared" si="0"/>
        <v>1126.4099999999999</v>
      </c>
      <c r="I27" s="42">
        <f t="shared" si="1"/>
        <v>8664.4183999999987</v>
      </c>
      <c r="J27" s="42">
        <f>'EB1'!AA23+'EB2'!AA23</f>
        <v>2483.79</v>
      </c>
      <c r="K27" s="42">
        <f t="shared" si="2"/>
        <v>6180.6283999999987</v>
      </c>
      <c r="L27" s="4" t="s">
        <v>3</v>
      </c>
      <c r="M27" s="17" t="s">
        <v>24</v>
      </c>
      <c r="P27" s="101"/>
    </row>
    <row r="28" spans="1:16" ht="13.5" customHeight="1" x14ac:dyDescent="0.3">
      <c r="A28" s="33">
        <v>19</v>
      </c>
      <c r="B28" s="24" t="s">
        <v>159</v>
      </c>
      <c r="C28" s="19" t="s">
        <v>37</v>
      </c>
      <c r="D28" s="4" t="s">
        <v>25</v>
      </c>
      <c r="E28" s="42">
        <f>'EB1'!T24+'EB2'!T24</f>
        <v>5870.4613333333327</v>
      </c>
      <c r="F28" s="42">
        <f>'EB1'!U24+'EB2'!U24</f>
        <v>139.84</v>
      </c>
      <c r="G28" s="42">
        <f>'EB1'!V24+'EB2'!V24</f>
        <v>103.72</v>
      </c>
      <c r="H28" s="42">
        <f t="shared" si="0"/>
        <v>243.56</v>
      </c>
      <c r="I28" s="42">
        <f t="shared" si="1"/>
        <v>5626.9013333333323</v>
      </c>
      <c r="J28" s="42">
        <f>'EB1'!AA24+'EB2'!AA24</f>
        <v>243.56</v>
      </c>
      <c r="K28" s="42">
        <f t="shared" si="2"/>
        <v>5383.3413333333319</v>
      </c>
      <c r="L28" s="4" t="s">
        <v>20</v>
      </c>
      <c r="M28" s="17" t="s">
        <v>24</v>
      </c>
      <c r="P28" s="101"/>
    </row>
    <row r="29" spans="1:16" ht="13.5" customHeight="1" x14ac:dyDescent="0.3">
      <c r="A29" s="33">
        <v>20</v>
      </c>
      <c r="B29" s="24" t="s">
        <v>160</v>
      </c>
      <c r="C29" s="19" t="s">
        <v>38</v>
      </c>
      <c r="D29" s="4" t="s">
        <v>30</v>
      </c>
      <c r="E29" s="42">
        <f>'EB1'!T25+'EB2'!T25</f>
        <v>7601.68</v>
      </c>
      <c r="F29" s="42">
        <f>'EB1'!U25+'EB2'!U25</f>
        <v>532.31999999999994</v>
      </c>
      <c r="G29" s="42">
        <f>'EB1'!V25+'EB2'!V25</f>
        <v>106</v>
      </c>
      <c r="H29" s="42">
        <f t="shared" si="0"/>
        <v>638.31999999999994</v>
      </c>
      <c r="I29" s="42">
        <f t="shared" si="1"/>
        <v>6963.3600000000006</v>
      </c>
      <c r="J29" s="42">
        <f>'EB1'!AA25+'EB2'!AA25</f>
        <v>2100.67</v>
      </c>
      <c r="K29" s="42">
        <f t="shared" si="2"/>
        <v>4862.6900000000005</v>
      </c>
      <c r="L29" s="4" t="s">
        <v>3</v>
      </c>
      <c r="M29" s="17" t="s">
        <v>24</v>
      </c>
      <c r="P29" s="101"/>
    </row>
    <row r="30" spans="1:16" ht="13.5" customHeight="1" x14ac:dyDescent="0.3">
      <c r="A30" s="33">
        <v>21</v>
      </c>
      <c r="B30" s="24" t="s">
        <v>162</v>
      </c>
      <c r="C30" s="19" t="s">
        <v>40</v>
      </c>
      <c r="D30" s="4" t="s">
        <v>301</v>
      </c>
      <c r="E30" s="42">
        <f>'EB1'!T26+'EB2'!T26</f>
        <v>24325.745000000003</v>
      </c>
      <c r="F30" s="42">
        <f>'EB1'!U26+'EB2'!U26</f>
        <v>4184.04</v>
      </c>
      <c r="G30" s="42">
        <f>'EB1'!V26+'EB2'!V26</f>
        <v>397.98</v>
      </c>
      <c r="H30" s="42">
        <f t="shared" si="0"/>
        <v>4582.0200000000004</v>
      </c>
      <c r="I30" s="42">
        <f t="shared" si="1"/>
        <v>19743.725000000002</v>
      </c>
      <c r="J30" s="42">
        <f>'EB1'!AA26+'EB2'!AA26</f>
        <v>7062.7000000000007</v>
      </c>
      <c r="K30" s="42">
        <f t="shared" si="2"/>
        <v>12681.025000000001</v>
      </c>
      <c r="L30" s="4" t="s">
        <v>20</v>
      </c>
      <c r="M30" s="17" t="s">
        <v>24</v>
      </c>
      <c r="P30" s="101"/>
    </row>
    <row r="31" spans="1:16" ht="13.5" customHeight="1" x14ac:dyDescent="0.3">
      <c r="A31" s="33">
        <v>22</v>
      </c>
      <c r="B31" s="24" t="s">
        <v>163</v>
      </c>
      <c r="C31" s="19" t="s">
        <v>41</v>
      </c>
      <c r="D31" s="4" t="s">
        <v>30</v>
      </c>
      <c r="E31" s="42">
        <f>'EB1'!T27+'EB2'!T27</f>
        <v>7204.3680000000013</v>
      </c>
      <c r="F31" s="42">
        <f>'EB1'!U27+'EB2'!U27</f>
        <v>457.99</v>
      </c>
      <c r="G31" s="42">
        <f>'EB1'!V27+'EB2'!V27</f>
        <v>78.62</v>
      </c>
      <c r="H31" s="42">
        <f t="shared" si="0"/>
        <v>536.61</v>
      </c>
      <c r="I31" s="42">
        <f t="shared" si="1"/>
        <v>6667.7580000000016</v>
      </c>
      <c r="J31" s="42">
        <f>'EB1'!AA27+'EB2'!AA27</f>
        <v>568.27</v>
      </c>
      <c r="K31" s="42">
        <f t="shared" si="2"/>
        <v>6099.4880000000012</v>
      </c>
      <c r="L31" s="4" t="s">
        <v>3</v>
      </c>
      <c r="M31" s="17" t="s">
        <v>24</v>
      </c>
      <c r="P31" s="101"/>
    </row>
    <row r="32" spans="1:16" ht="13.5" customHeight="1" x14ac:dyDescent="0.3">
      <c r="A32" s="33">
        <v>23</v>
      </c>
      <c r="B32" s="24" t="s">
        <v>168</v>
      </c>
      <c r="C32" s="19" t="s">
        <v>43</v>
      </c>
      <c r="D32" s="4" t="s">
        <v>42</v>
      </c>
      <c r="E32" s="42">
        <f>'EB1'!T28+'EB2'!T28</f>
        <v>16529.39</v>
      </c>
      <c r="F32" s="42">
        <f>'EB1'!U28+'EB2'!U28</f>
        <v>2436.3000000000002</v>
      </c>
      <c r="G32" s="42">
        <f>'EB1'!V28+'EB2'!V28</f>
        <v>282.02</v>
      </c>
      <c r="H32" s="42">
        <f t="shared" si="0"/>
        <v>2718.32</v>
      </c>
      <c r="I32" s="42">
        <f t="shared" si="1"/>
        <v>13811.07</v>
      </c>
      <c r="J32" s="42">
        <f>'EB1'!AA28+'EB2'!AA28</f>
        <v>2798.3199999999997</v>
      </c>
      <c r="K32" s="42">
        <f t="shared" si="2"/>
        <v>11012.75</v>
      </c>
      <c r="L32" s="4" t="s">
        <v>3</v>
      </c>
      <c r="M32" s="17" t="s">
        <v>24</v>
      </c>
      <c r="P32" s="101"/>
    </row>
    <row r="33" spans="1:16" ht="13.5" customHeight="1" x14ac:dyDescent="0.3">
      <c r="A33" s="33">
        <v>24</v>
      </c>
      <c r="B33" s="24" t="s">
        <v>170</v>
      </c>
      <c r="C33" s="20" t="s">
        <v>46</v>
      </c>
      <c r="D33" s="4" t="s">
        <v>45</v>
      </c>
      <c r="E33" s="42">
        <f>'EB1'!T29+'EB2'!T29</f>
        <v>4763.4779999999992</v>
      </c>
      <c r="F33" s="42">
        <f>'EB1'!U29+'EB2'!U29</f>
        <v>0</v>
      </c>
      <c r="G33" s="42">
        <f>'EB1'!V29+'EB2'!V29</f>
        <v>60.02</v>
      </c>
      <c r="H33" s="42">
        <f t="shared" si="0"/>
        <v>60.02</v>
      </c>
      <c r="I33" s="42">
        <f t="shared" si="1"/>
        <v>4703.4579999999987</v>
      </c>
      <c r="J33" s="42">
        <f>'EB1'!AA29+'EB2'!AA29</f>
        <v>1888.64</v>
      </c>
      <c r="K33" s="42">
        <f t="shared" si="2"/>
        <v>2814.8179999999984</v>
      </c>
      <c r="L33" s="4" t="s">
        <v>3</v>
      </c>
      <c r="M33" s="17" t="s">
        <v>44</v>
      </c>
      <c r="P33" s="101"/>
    </row>
    <row r="34" spans="1:16" ht="13.5" customHeight="1" x14ac:dyDescent="0.3">
      <c r="A34" s="33">
        <v>25</v>
      </c>
      <c r="B34" s="24" t="s">
        <v>171</v>
      </c>
      <c r="C34" s="20" t="s">
        <v>47</v>
      </c>
      <c r="D34" s="4" t="s">
        <v>25</v>
      </c>
      <c r="E34" s="42">
        <f>'EB1'!T30+'EB2'!T30</f>
        <v>4580.4233333333332</v>
      </c>
      <c r="F34" s="42">
        <f>'EB1'!U30+'EB2'!U30</f>
        <v>0</v>
      </c>
      <c r="G34" s="42">
        <f>'EB1'!V30+'EB2'!V30</f>
        <v>61.32</v>
      </c>
      <c r="H34" s="42">
        <f t="shared" si="0"/>
        <v>61.32</v>
      </c>
      <c r="I34" s="42">
        <f t="shared" si="1"/>
        <v>4519.1033333333335</v>
      </c>
      <c r="J34" s="42">
        <f>'EB1'!AA30+'EB2'!AA30</f>
        <v>86.02</v>
      </c>
      <c r="K34" s="42">
        <f t="shared" si="2"/>
        <v>4433.083333333333</v>
      </c>
      <c r="L34" s="4" t="s">
        <v>3</v>
      </c>
      <c r="M34" s="17" t="s">
        <v>44</v>
      </c>
      <c r="P34" s="101"/>
    </row>
    <row r="35" spans="1:16" ht="13.5" customHeight="1" x14ac:dyDescent="0.3">
      <c r="A35" s="33">
        <v>26</v>
      </c>
      <c r="B35" s="24" t="s">
        <v>172</v>
      </c>
      <c r="C35" s="20" t="s">
        <v>48</v>
      </c>
      <c r="D35" s="4" t="s">
        <v>30</v>
      </c>
      <c r="E35" s="42">
        <f>'EB1'!T31+'EB2'!T31</f>
        <v>4204.9580000000005</v>
      </c>
      <c r="F35" s="42">
        <f>'EB1'!U31+'EB2'!U31</f>
        <v>0</v>
      </c>
      <c r="G35" s="42">
        <f>'EB1'!V31+'EB2'!V31</f>
        <v>65</v>
      </c>
      <c r="H35" s="42">
        <f t="shared" si="0"/>
        <v>65</v>
      </c>
      <c r="I35" s="42">
        <f t="shared" si="1"/>
        <v>4139.9580000000005</v>
      </c>
      <c r="J35" s="42">
        <f>'EB1'!AA31+'EB2'!AA31</f>
        <v>576.14</v>
      </c>
      <c r="K35" s="42">
        <f t="shared" si="2"/>
        <v>3563.8180000000007</v>
      </c>
      <c r="L35" s="4" t="s">
        <v>3</v>
      </c>
      <c r="M35" s="17" t="s">
        <v>44</v>
      </c>
      <c r="P35" s="101"/>
    </row>
    <row r="36" spans="1:16" ht="13.5" customHeight="1" x14ac:dyDescent="0.3">
      <c r="A36" s="33">
        <v>27</v>
      </c>
      <c r="B36" s="26" t="s">
        <v>173</v>
      </c>
      <c r="C36" s="21" t="s">
        <v>49</v>
      </c>
      <c r="D36" s="4" t="s">
        <v>30</v>
      </c>
      <c r="E36" s="42">
        <f>'EB1'!T32+'EB2'!T32</f>
        <v>3361.2373333333335</v>
      </c>
      <c r="F36" s="42">
        <f>'EB1'!U32+'EB2'!U32</f>
        <v>0</v>
      </c>
      <c r="G36" s="42">
        <f>'EB1'!V32+'EB2'!V32</f>
        <v>46.02</v>
      </c>
      <c r="H36" s="42">
        <f t="shared" si="0"/>
        <v>46.02</v>
      </c>
      <c r="I36" s="42">
        <f t="shared" si="1"/>
        <v>3315.2173333333335</v>
      </c>
      <c r="J36" s="42">
        <f>'EB1'!AA32+'EB2'!AA32</f>
        <v>46.02</v>
      </c>
      <c r="K36" s="42">
        <f t="shared" si="2"/>
        <v>3269.1973333333335</v>
      </c>
      <c r="L36" s="4" t="s">
        <v>20</v>
      </c>
      <c r="M36" s="17" t="s">
        <v>44</v>
      </c>
      <c r="P36" s="101"/>
    </row>
    <row r="37" spans="1:16" ht="13.5" customHeight="1" x14ac:dyDescent="0.3">
      <c r="A37" s="33">
        <v>28</v>
      </c>
      <c r="B37" s="24" t="s">
        <v>174</v>
      </c>
      <c r="C37" s="20" t="s">
        <v>51</v>
      </c>
      <c r="D37" s="4" t="s">
        <v>307</v>
      </c>
      <c r="E37" s="42">
        <f>'EB1'!T33+'EB2'!T33</f>
        <v>8352.3233333333319</v>
      </c>
      <c r="F37" s="42">
        <f>'EB1'!U33+'EB2'!U33</f>
        <v>754.94</v>
      </c>
      <c r="G37" s="42">
        <f>'EB1'!V33+'EB2'!V33</f>
        <v>135.47999999999999</v>
      </c>
      <c r="H37" s="42">
        <f t="shared" si="0"/>
        <v>890.42000000000007</v>
      </c>
      <c r="I37" s="42">
        <f t="shared" si="1"/>
        <v>7461.9033333333318</v>
      </c>
      <c r="J37" s="42">
        <f>'EB1'!AA33+'EB2'!AA33</f>
        <v>2319.1800000000003</v>
      </c>
      <c r="K37" s="42">
        <f t="shared" si="2"/>
        <v>5142.7233333333315</v>
      </c>
      <c r="L37" s="4" t="s">
        <v>3</v>
      </c>
      <c r="M37" s="17" t="s">
        <v>44</v>
      </c>
      <c r="P37" s="101"/>
    </row>
    <row r="38" spans="1:16" ht="13.5" customHeight="1" x14ac:dyDescent="0.3">
      <c r="A38" s="33">
        <v>29</v>
      </c>
      <c r="B38" s="24" t="s">
        <v>175</v>
      </c>
      <c r="C38" s="20" t="s">
        <v>53</v>
      </c>
      <c r="D38" s="4" t="s">
        <v>308</v>
      </c>
      <c r="E38" s="42">
        <f>'EB1'!T34+'EB2'!T34</f>
        <v>8552.0333333333328</v>
      </c>
      <c r="F38" s="42">
        <f>'EB1'!U34+'EB2'!U34</f>
        <v>969.16</v>
      </c>
      <c r="G38" s="42">
        <f>'EB1'!V34+'EB2'!V34</f>
        <v>135.47999999999999</v>
      </c>
      <c r="H38" s="42">
        <f t="shared" si="0"/>
        <v>1104.6399999999999</v>
      </c>
      <c r="I38" s="42">
        <f t="shared" si="1"/>
        <v>7447.3933333333334</v>
      </c>
      <c r="J38" s="42">
        <f>'EB1'!AA34+'EB2'!AA34</f>
        <v>1104.6399999999999</v>
      </c>
      <c r="K38" s="42">
        <f t="shared" si="2"/>
        <v>6342.753333333334</v>
      </c>
      <c r="L38" s="4" t="s">
        <v>20</v>
      </c>
      <c r="M38" s="17" t="s">
        <v>44</v>
      </c>
      <c r="P38" s="101"/>
    </row>
    <row r="39" spans="1:16" ht="13.5" customHeight="1" x14ac:dyDescent="0.3">
      <c r="A39" s="33">
        <v>30</v>
      </c>
      <c r="B39" s="24" t="s">
        <v>176</v>
      </c>
      <c r="C39" s="22" t="s">
        <v>54</v>
      </c>
      <c r="D39" s="4" t="s">
        <v>52</v>
      </c>
      <c r="E39" s="42">
        <f>'EB1'!T35+'EB2'!T35</f>
        <v>6834.5333333333328</v>
      </c>
      <c r="F39" s="42">
        <f>'EB1'!U35+'EB2'!U35</f>
        <v>285.23</v>
      </c>
      <c r="G39" s="42">
        <f>'EB1'!V35+'EB2'!V35</f>
        <v>111.86</v>
      </c>
      <c r="H39" s="42">
        <f t="shared" si="0"/>
        <v>397.09000000000003</v>
      </c>
      <c r="I39" s="42">
        <f t="shared" si="1"/>
        <v>6437.4433333333327</v>
      </c>
      <c r="J39" s="42">
        <f>'EB1'!AA35+'EB2'!AA35</f>
        <v>2591.6899999999996</v>
      </c>
      <c r="K39" s="42">
        <f t="shared" si="2"/>
        <v>3845.7533333333331</v>
      </c>
      <c r="L39" s="4" t="s">
        <v>20</v>
      </c>
      <c r="M39" s="17" t="s">
        <v>44</v>
      </c>
      <c r="P39" s="101"/>
    </row>
    <row r="40" spans="1:16" ht="13.5" customHeight="1" x14ac:dyDescent="0.3">
      <c r="A40" s="33">
        <v>31</v>
      </c>
      <c r="B40" s="27" t="s">
        <v>182</v>
      </c>
      <c r="C40" s="15" t="s">
        <v>59</v>
      </c>
      <c r="D40" s="4" t="s">
        <v>52</v>
      </c>
      <c r="E40" s="11">
        <f>'EE1'!O5+'EE2'!O5</f>
        <v>8490.15</v>
      </c>
      <c r="F40" s="11">
        <f>'EE1'!P5+'EE2'!P5</f>
        <v>784.32999999999993</v>
      </c>
      <c r="G40" s="11">
        <f>'EE1'!R5+'EE2'!R5</f>
        <v>0</v>
      </c>
      <c r="H40" s="42">
        <f t="shared" si="0"/>
        <v>784.32999999999993</v>
      </c>
      <c r="I40" s="42">
        <f t="shared" si="1"/>
        <v>7705.82</v>
      </c>
      <c r="J40" s="42">
        <f>'EE1'!V5+'EE2'!V5</f>
        <v>1095.2</v>
      </c>
      <c r="K40" s="42">
        <f t="shared" si="2"/>
        <v>6610.62</v>
      </c>
      <c r="L40" s="3" t="s">
        <v>58</v>
      </c>
      <c r="M40" s="3" t="s">
        <v>57</v>
      </c>
      <c r="P40" s="200"/>
    </row>
    <row r="41" spans="1:16" ht="13.5" customHeight="1" x14ac:dyDescent="0.25">
      <c r="A41" s="33">
        <v>32</v>
      </c>
      <c r="B41" s="28" t="s">
        <v>184</v>
      </c>
      <c r="C41" s="10" t="s">
        <v>61</v>
      </c>
      <c r="D41" s="4" t="s">
        <v>60</v>
      </c>
      <c r="E41" s="11">
        <f>'EE1'!O6+'EE2'!O6</f>
        <v>4550.84</v>
      </c>
      <c r="F41" s="11">
        <f>'EE1'!P6+'EE2'!P6</f>
        <v>286.96000000000004</v>
      </c>
      <c r="G41" s="11">
        <f>'EE1'!R6+'EE2'!R6</f>
        <v>80.459999999999994</v>
      </c>
      <c r="H41" s="42">
        <f t="shared" si="0"/>
        <v>367.42</v>
      </c>
      <c r="I41" s="42">
        <f t="shared" si="1"/>
        <v>4183.42</v>
      </c>
      <c r="J41" s="42">
        <f>'EE1'!V6+'EE2'!V6</f>
        <v>867.42000000000007</v>
      </c>
      <c r="K41" s="42">
        <f t="shared" si="2"/>
        <v>3316</v>
      </c>
      <c r="L41" s="4" t="s">
        <v>58</v>
      </c>
      <c r="M41" s="4" t="s">
        <v>57</v>
      </c>
      <c r="P41" s="200"/>
    </row>
    <row r="42" spans="1:16" ht="13.5" customHeight="1" x14ac:dyDescent="0.3">
      <c r="A42" s="33">
        <v>33</v>
      </c>
      <c r="B42" s="28" t="s">
        <v>188</v>
      </c>
      <c r="C42" s="10" t="s">
        <v>63</v>
      </c>
      <c r="D42" s="4" t="s">
        <v>62</v>
      </c>
      <c r="E42" s="11">
        <f>'EE1'!O7+'EE2'!O7</f>
        <v>8026.4599999999991</v>
      </c>
      <c r="F42" s="11">
        <f>'EE1'!P7+'EE2'!P7</f>
        <v>702.41</v>
      </c>
      <c r="G42" s="11">
        <f>'EE1'!R7+'EE2'!R7</f>
        <v>93.76</v>
      </c>
      <c r="H42" s="42">
        <f t="shared" si="0"/>
        <v>796.17</v>
      </c>
      <c r="I42" s="42">
        <f t="shared" si="1"/>
        <v>7230.2899999999991</v>
      </c>
      <c r="J42" s="42">
        <f>'EE1'!V7+'EE2'!V7</f>
        <v>961.17000000000007</v>
      </c>
      <c r="K42" s="42">
        <f t="shared" si="2"/>
        <v>6269.119999999999</v>
      </c>
      <c r="L42" s="4" t="s">
        <v>58</v>
      </c>
      <c r="M42" s="4" t="s">
        <v>57</v>
      </c>
      <c r="P42" s="200"/>
    </row>
    <row r="43" spans="1:16" ht="13.5" customHeight="1" x14ac:dyDescent="0.3">
      <c r="A43" s="33">
        <v>34</v>
      </c>
      <c r="B43" s="28" t="s">
        <v>190</v>
      </c>
      <c r="C43" s="10" t="s">
        <v>66</v>
      </c>
      <c r="D43" s="4" t="s">
        <v>297</v>
      </c>
      <c r="E43" s="11">
        <f>'EE1'!O8+'EE2'!O8</f>
        <v>21450</v>
      </c>
      <c r="F43" s="11">
        <f>'EE1'!P8+'EE2'!P8</f>
        <v>3507.66</v>
      </c>
      <c r="G43" s="11">
        <f>'EE1'!R8+'EE2'!R8</f>
        <v>112.52</v>
      </c>
      <c r="H43" s="42">
        <f t="shared" si="0"/>
        <v>3620.18</v>
      </c>
      <c r="I43" s="42">
        <f t="shared" si="1"/>
        <v>17829.82</v>
      </c>
      <c r="J43" s="42">
        <f>'EE1'!V8+'EE2'!V8</f>
        <v>6620.18</v>
      </c>
      <c r="K43" s="42">
        <f t="shared" si="2"/>
        <v>11209.64</v>
      </c>
      <c r="L43" s="4" t="s">
        <v>58</v>
      </c>
      <c r="M43" s="4" t="s">
        <v>57</v>
      </c>
      <c r="P43" s="200"/>
    </row>
    <row r="44" spans="1:16" ht="13.5" customHeight="1" x14ac:dyDescent="0.3">
      <c r="A44" s="33">
        <v>35</v>
      </c>
      <c r="B44" s="28" t="s">
        <v>204</v>
      </c>
      <c r="C44" s="11" t="s">
        <v>64</v>
      </c>
      <c r="D44" s="4" t="s">
        <v>17</v>
      </c>
      <c r="E44" s="11">
        <f>'EE1'!O9+'EE2'!O9</f>
        <v>4424</v>
      </c>
      <c r="F44" s="11">
        <f>'EE1'!P9+'EE2'!P9</f>
        <v>273.15999999999997</v>
      </c>
      <c r="G44" s="11">
        <f>'EE1'!R9+'EE2'!R9</f>
        <v>0</v>
      </c>
      <c r="H44" s="42">
        <f t="shared" si="0"/>
        <v>273.15999999999997</v>
      </c>
      <c r="I44" s="42">
        <f t="shared" si="1"/>
        <v>4150.84</v>
      </c>
      <c r="J44" s="42">
        <f>'EE1'!V9+'EE2'!V9</f>
        <v>273.15999999999997</v>
      </c>
      <c r="K44" s="42">
        <f t="shared" si="2"/>
        <v>3877.6800000000003</v>
      </c>
      <c r="L44" s="4" t="s">
        <v>58</v>
      </c>
      <c r="M44" s="4" t="s">
        <v>57</v>
      </c>
      <c r="P44" s="200"/>
    </row>
    <row r="45" spans="1:16" ht="13.5" customHeight="1" x14ac:dyDescent="0.25">
      <c r="A45" s="33">
        <v>36</v>
      </c>
      <c r="B45" s="28" t="s">
        <v>199</v>
      </c>
      <c r="C45" s="10" t="s">
        <v>69</v>
      </c>
      <c r="D45" s="4" t="s">
        <v>68</v>
      </c>
      <c r="E45" s="11">
        <f>'EE1'!O10+'EE2'!O10</f>
        <v>14722.83</v>
      </c>
      <c r="F45" s="11">
        <f>'EE1'!P10+'EE2'!P10</f>
        <v>2050.42</v>
      </c>
      <c r="G45" s="11">
        <f>'EE1'!R10+'EE2'!R10</f>
        <v>0</v>
      </c>
      <c r="H45" s="42">
        <f t="shared" si="0"/>
        <v>2050.42</v>
      </c>
      <c r="I45" s="42">
        <f t="shared" si="1"/>
        <v>12672.41</v>
      </c>
      <c r="J45" s="42">
        <f>'EE1'!V10+'EE2'!V10</f>
        <v>2050.42</v>
      </c>
      <c r="K45" s="42">
        <f t="shared" si="2"/>
        <v>10621.99</v>
      </c>
      <c r="L45" s="4" t="s">
        <v>58</v>
      </c>
      <c r="M45" s="4" t="s">
        <v>57</v>
      </c>
      <c r="P45" s="200"/>
    </row>
    <row r="46" spans="1:16" ht="13.5" customHeight="1" x14ac:dyDescent="0.3">
      <c r="A46" s="33">
        <v>37</v>
      </c>
      <c r="B46" s="28" t="s">
        <v>243</v>
      </c>
      <c r="C46" s="12" t="s">
        <v>239</v>
      </c>
      <c r="D46" s="4" t="s">
        <v>52</v>
      </c>
      <c r="E46" s="11">
        <f>'EE1'!O11+'EE2'!O11</f>
        <v>4400.5</v>
      </c>
      <c r="F46" s="11">
        <f>'EE1'!P11+'EE2'!P11</f>
        <v>270.68</v>
      </c>
      <c r="G46" s="11">
        <f>'EE1'!R11+'EE2'!R11</f>
        <v>0</v>
      </c>
      <c r="H46" s="42">
        <f t="shared" si="0"/>
        <v>270.68</v>
      </c>
      <c r="I46" s="42">
        <f t="shared" si="1"/>
        <v>4129.82</v>
      </c>
      <c r="J46" s="42">
        <f>'EE1'!V11+'EE2'!V11</f>
        <v>270.68</v>
      </c>
      <c r="K46" s="42">
        <f t="shared" si="2"/>
        <v>3859.14</v>
      </c>
      <c r="L46" s="4" t="s">
        <v>58</v>
      </c>
      <c r="M46" s="4" t="s">
        <v>57</v>
      </c>
      <c r="P46" s="200"/>
    </row>
    <row r="47" spans="1:16" ht="13.5" customHeight="1" x14ac:dyDescent="0.3">
      <c r="A47" s="33">
        <v>38</v>
      </c>
      <c r="B47" s="28" t="s">
        <v>299</v>
      </c>
      <c r="C47" s="12" t="s">
        <v>292</v>
      </c>
      <c r="D47" s="4" t="s">
        <v>296</v>
      </c>
      <c r="E47" s="11">
        <f>'EE1'!O12+'EE2'!O12</f>
        <v>0</v>
      </c>
      <c r="F47" s="11">
        <f>'EE1'!P12+'EE2'!P12</f>
        <v>0</v>
      </c>
      <c r="G47" s="11">
        <f>'EE1'!R12+'EE2'!R12</f>
        <v>0</v>
      </c>
      <c r="H47" s="42">
        <f t="shared" si="0"/>
        <v>0</v>
      </c>
      <c r="I47" s="42">
        <f t="shared" si="1"/>
        <v>0</v>
      </c>
      <c r="J47" s="42">
        <f>'EE1'!V12+'EE2'!V12</f>
        <v>0</v>
      </c>
      <c r="K47" s="42">
        <f t="shared" si="2"/>
        <v>0</v>
      </c>
      <c r="L47" s="4" t="s">
        <v>58</v>
      </c>
      <c r="M47" s="4" t="s">
        <v>57</v>
      </c>
      <c r="P47" s="200"/>
    </row>
    <row r="48" spans="1:16" ht="13.5" customHeight="1" x14ac:dyDescent="0.3">
      <c r="A48" s="33">
        <v>39</v>
      </c>
      <c r="B48" s="28" t="s">
        <v>177</v>
      </c>
      <c r="C48" s="11" t="s">
        <v>71</v>
      </c>
      <c r="D48" s="4" t="s">
        <v>70</v>
      </c>
      <c r="E48" s="11">
        <f>'EE1'!O13+'EE2'!O13</f>
        <v>7638.34</v>
      </c>
      <c r="F48" s="11">
        <f>'EE1'!P13+'EE2'!P13</f>
        <v>640.30999999999995</v>
      </c>
      <c r="G48" s="11">
        <f>'EE1'!R13+'EE2'!R13</f>
        <v>0</v>
      </c>
      <c r="H48" s="42">
        <f t="shared" si="0"/>
        <v>640.30999999999995</v>
      </c>
      <c r="I48" s="42">
        <f t="shared" si="1"/>
        <v>6998.0300000000007</v>
      </c>
      <c r="J48" s="42">
        <f>'EE1'!V13+'EE2'!V13</f>
        <v>640.30999999999995</v>
      </c>
      <c r="K48" s="42">
        <f t="shared" si="2"/>
        <v>6357.7200000000012</v>
      </c>
      <c r="L48" s="4" t="s">
        <v>58</v>
      </c>
      <c r="M48" s="4" t="s">
        <v>6</v>
      </c>
      <c r="P48" s="200"/>
    </row>
    <row r="49" spans="1:16" ht="13.5" customHeight="1" x14ac:dyDescent="0.3">
      <c r="A49" s="33">
        <v>40</v>
      </c>
      <c r="B49" s="28" t="s">
        <v>181</v>
      </c>
      <c r="C49" s="10" t="s">
        <v>72</v>
      </c>
      <c r="D49" s="4" t="s">
        <v>17</v>
      </c>
      <c r="E49" s="11">
        <f>'EE1'!O14+'EE2'!O14</f>
        <v>6471.12</v>
      </c>
      <c r="F49" s="11">
        <f>'EE1'!P14+'EE2'!P14</f>
        <v>495.89</v>
      </c>
      <c r="G49" s="11">
        <f>'EE1'!R14+'EE2'!R14</f>
        <v>100</v>
      </c>
      <c r="H49" s="42">
        <f t="shared" si="0"/>
        <v>595.89</v>
      </c>
      <c r="I49" s="42">
        <f t="shared" si="1"/>
        <v>5875.23</v>
      </c>
      <c r="J49" s="42">
        <f>'EE1'!V14+'EE2'!V14</f>
        <v>595.89</v>
      </c>
      <c r="K49" s="42">
        <f t="shared" si="2"/>
        <v>5279.3399999999992</v>
      </c>
      <c r="L49" s="4" t="s">
        <v>58</v>
      </c>
      <c r="M49" s="4" t="s">
        <v>6</v>
      </c>
      <c r="P49" s="200"/>
    </row>
    <row r="50" spans="1:16" ht="13.5" customHeight="1" x14ac:dyDescent="0.3">
      <c r="A50" s="33">
        <v>41</v>
      </c>
      <c r="B50" s="28" t="s">
        <v>183</v>
      </c>
      <c r="C50" s="10" t="s">
        <v>74</v>
      </c>
      <c r="D50" s="4" t="s">
        <v>73</v>
      </c>
      <c r="E50" s="11">
        <f>'EE1'!O15+'EE2'!O15</f>
        <v>7638.34</v>
      </c>
      <c r="F50" s="11">
        <f>'EE1'!P15+'EE2'!P15</f>
        <v>640.30999999999995</v>
      </c>
      <c r="G50" s="11">
        <f>'EE1'!R15+'EE2'!R15</f>
        <v>0</v>
      </c>
      <c r="H50" s="42">
        <f t="shared" si="0"/>
        <v>640.30999999999995</v>
      </c>
      <c r="I50" s="42">
        <f t="shared" si="1"/>
        <v>6998.0300000000007</v>
      </c>
      <c r="J50" s="42">
        <f>'EE1'!V15+'EE2'!V15</f>
        <v>1640.31</v>
      </c>
      <c r="K50" s="42">
        <f t="shared" si="2"/>
        <v>5357.7200000000012</v>
      </c>
      <c r="L50" s="4" t="s">
        <v>58</v>
      </c>
      <c r="M50" s="4" t="s">
        <v>6</v>
      </c>
      <c r="P50" s="200"/>
    </row>
    <row r="51" spans="1:16" ht="13.5" customHeight="1" x14ac:dyDescent="0.3">
      <c r="A51" s="33">
        <v>42</v>
      </c>
      <c r="B51" s="28" t="s">
        <v>185</v>
      </c>
      <c r="C51" s="10" t="s">
        <v>76</v>
      </c>
      <c r="D51" s="4" t="s">
        <v>75</v>
      </c>
      <c r="E51" s="11">
        <f>'EE1'!O16+'EE2'!O16</f>
        <v>22948.199999999997</v>
      </c>
      <c r="F51" s="11">
        <f>'EE1'!P16+'EE2'!P16</f>
        <v>4059.99</v>
      </c>
      <c r="G51" s="11">
        <f>'EE1'!R16+'EE2'!R16</f>
        <v>0</v>
      </c>
      <c r="H51" s="42">
        <f t="shared" si="0"/>
        <v>4059.99</v>
      </c>
      <c r="I51" s="42">
        <f t="shared" si="1"/>
        <v>18888.21</v>
      </c>
      <c r="J51" s="42">
        <f>'EE1'!V16+'EE2'!V16</f>
        <v>4059.99</v>
      </c>
      <c r="K51" s="42">
        <f t="shared" si="2"/>
        <v>14828.22</v>
      </c>
      <c r="L51" s="4" t="s">
        <v>58</v>
      </c>
      <c r="M51" s="4" t="s">
        <v>6</v>
      </c>
      <c r="P51" s="200"/>
    </row>
    <row r="52" spans="1:16" ht="13.5" customHeight="1" x14ac:dyDescent="0.3">
      <c r="A52" s="33">
        <v>43</v>
      </c>
      <c r="B52" s="28" t="s">
        <v>189</v>
      </c>
      <c r="C52" s="10" t="s">
        <v>77</v>
      </c>
      <c r="D52" s="4" t="s">
        <v>17</v>
      </c>
      <c r="E52" s="11">
        <f>'EE1'!O17+'EE2'!O17</f>
        <v>9416.7999999999993</v>
      </c>
      <c r="F52" s="11">
        <f>'EE1'!P17+'EE2'!P17</f>
        <v>942.5</v>
      </c>
      <c r="G52" s="11">
        <f>'EE1'!R17+'EE2'!R17</f>
        <v>75</v>
      </c>
      <c r="H52" s="42">
        <f t="shared" si="0"/>
        <v>1017.5</v>
      </c>
      <c r="I52" s="42">
        <f t="shared" si="1"/>
        <v>8399.2999999999993</v>
      </c>
      <c r="J52" s="42">
        <f>'EE1'!V17+'EE2'!V17</f>
        <v>1017.5</v>
      </c>
      <c r="K52" s="42">
        <f t="shared" si="2"/>
        <v>7381.7999999999993</v>
      </c>
      <c r="L52" s="4" t="s">
        <v>58</v>
      </c>
      <c r="M52" s="4" t="s">
        <v>6</v>
      </c>
      <c r="P52" s="200"/>
    </row>
    <row r="53" spans="1:16" ht="13.5" customHeight="1" x14ac:dyDescent="0.3">
      <c r="A53" s="33">
        <v>44</v>
      </c>
      <c r="B53" s="28" t="s">
        <v>194</v>
      </c>
      <c r="C53" s="10" t="s">
        <v>79</v>
      </c>
      <c r="D53" s="6" t="s">
        <v>78</v>
      </c>
      <c r="E53" s="11">
        <f>'EE1'!O18+'EE2'!O18</f>
        <v>5006.9000000000005</v>
      </c>
      <c r="F53" s="11">
        <f>'EE1'!P18+'EE2'!P18</f>
        <v>336.59000000000003</v>
      </c>
      <c r="G53" s="11">
        <f>'EE1'!R18+'EE2'!R18</f>
        <v>0</v>
      </c>
      <c r="H53" s="42">
        <f t="shared" si="0"/>
        <v>336.59000000000003</v>
      </c>
      <c r="I53" s="42">
        <f t="shared" si="1"/>
        <v>4670.3100000000004</v>
      </c>
      <c r="J53" s="42">
        <f>'EE1'!V18+'EE2'!V18</f>
        <v>336.59000000000003</v>
      </c>
      <c r="K53" s="42">
        <f t="shared" si="2"/>
        <v>4333.72</v>
      </c>
      <c r="L53" s="4" t="s">
        <v>58</v>
      </c>
      <c r="M53" s="6" t="s">
        <v>6</v>
      </c>
      <c r="P53" s="200"/>
    </row>
    <row r="54" spans="1:16" ht="13.5" customHeight="1" x14ac:dyDescent="0.3">
      <c r="A54" s="33">
        <v>45</v>
      </c>
      <c r="B54" s="28" t="s">
        <v>195</v>
      </c>
      <c r="C54" s="11" t="s">
        <v>80</v>
      </c>
      <c r="D54" s="4" t="s">
        <v>9</v>
      </c>
      <c r="E54" s="11">
        <f>'EE1'!O19+'EE2'!O19</f>
        <v>5196</v>
      </c>
      <c r="F54" s="11">
        <f>'EE1'!P19+'EE2'!P19</f>
        <v>357.15999999999997</v>
      </c>
      <c r="G54" s="11">
        <f>'EE1'!R19+'EE2'!R19</f>
        <v>0</v>
      </c>
      <c r="H54" s="42">
        <f t="shared" si="0"/>
        <v>357.15999999999997</v>
      </c>
      <c r="I54" s="42">
        <f t="shared" si="1"/>
        <v>4838.84</v>
      </c>
      <c r="J54" s="42">
        <f>'EE1'!V19+'EE2'!V19</f>
        <v>357.15999999999997</v>
      </c>
      <c r="K54" s="42">
        <f t="shared" si="2"/>
        <v>4481.68</v>
      </c>
      <c r="L54" s="4" t="s">
        <v>58</v>
      </c>
      <c r="M54" s="4" t="s">
        <v>6</v>
      </c>
      <c r="P54" s="200"/>
    </row>
    <row r="55" spans="1:16" ht="13.5" customHeight="1" x14ac:dyDescent="0.25">
      <c r="A55" s="33">
        <v>46</v>
      </c>
      <c r="B55" s="28" t="s">
        <v>205</v>
      </c>
      <c r="C55" s="11" t="s">
        <v>81</v>
      </c>
      <c r="D55" s="4" t="s">
        <v>17</v>
      </c>
      <c r="E55" s="11">
        <f>'EE1'!O20+'EE2'!O20</f>
        <v>4644</v>
      </c>
      <c r="F55" s="11">
        <f>'EE1'!P20+'EE2'!P20</f>
        <v>297.10000000000002</v>
      </c>
      <c r="G55" s="11">
        <f>'EE1'!R20+'EE2'!R20</f>
        <v>0</v>
      </c>
      <c r="H55" s="42">
        <f t="shared" si="0"/>
        <v>297.10000000000002</v>
      </c>
      <c r="I55" s="42">
        <f t="shared" si="1"/>
        <v>4346.8999999999996</v>
      </c>
      <c r="J55" s="42">
        <f>'EE1'!V20+'EE2'!V20</f>
        <v>297.10000000000002</v>
      </c>
      <c r="K55" s="42">
        <f t="shared" si="2"/>
        <v>4049.7999999999997</v>
      </c>
      <c r="L55" s="4" t="s">
        <v>58</v>
      </c>
      <c r="M55" s="4" t="s">
        <v>6</v>
      </c>
      <c r="P55" s="200"/>
    </row>
    <row r="56" spans="1:16" ht="13.5" customHeight="1" x14ac:dyDescent="0.25">
      <c r="A56" s="33">
        <v>47</v>
      </c>
      <c r="B56" s="28" t="s">
        <v>202</v>
      </c>
      <c r="C56" s="11" t="s">
        <v>82</v>
      </c>
      <c r="D56" s="9" t="s">
        <v>12</v>
      </c>
      <c r="E56" s="11">
        <f>'EE1'!O21+'EE2'!O21</f>
        <v>8099.3</v>
      </c>
      <c r="F56" s="11">
        <f>'EE1'!P21+'EE2'!P21</f>
        <v>715.38</v>
      </c>
      <c r="G56" s="11">
        <f>'EE1'!R21+'EE2'!R21</f>
        <v>0</v>
      </c>
      <c r="H56" s="42">
        <f t="shared" si="0"/>
        <v>715.38</v>
      </c>
      <c r="I56" s="42">
        <f t="shared" si="1"/>
        <v>7383.92</v>
      </c>
      <c r="J56" s="42">
        <f>'EE1'!V21+'EE2'!V21</f>
        <v>1715.38</v>
      </c>
      <c r="K56" s="42">
        <f t="shared" si="2"/>
        <v>5668.54</v>
      </c>
      <c r="L56" s="9" t="s">
        <v>58</v>
      </c>
      <c r="M56" s="9" t="s">
        <v>6</v>
      </c>
      <c r="P56" s="200"/>
    </row>
    <row r="57" spans="1:16" ht="13.5" customHeight="1" x14ac:dyDescent="0.25">
      <c r="A57" s="33">
        <v>48</v>
      </c>
      <c r="B57" s="28" t="s">
        <v>198</v>
      </c>
      <c r="C57" s="10" t="s">
        <v>84</v>
      </c>
      <c r="D57" s="4" t="s">
        <v>302</v>
      </c>
      <c r="E57" s="11">
        <f>'EE1'!O22+'EE2'!O22</f>
        <v>18955</v>
      </c>
      <c r="F57" s="11">
        <f>'EE1'!P22+'EE2'!P22</f>
        <v>2954.41</v>
      </c>
      <c r="G57" s="11">
        <f>'EE1'!R22+'EE2'!R22</f>
        <v>474.24</v>
      </c>
      <c r="H57" s="42">
        <f t="shared" si="0"/>
        <v>3428.6499999999996</v>
      </c>
      <c r="I57" s="42">
        <f t="shared" si="1"/>
        <v>15526.35</v>
      </c>
      <c r="J57" s="42">
        <f>'EE1'!V22+'EE2'!V22</f>
        <v>3428.65</v>
      </c>
      <c r="K57" s="42">
        <f t="shared" si="2"/>
        <v>12097.7</v>
      </c>
      <c r="L57" s="4" t="s">
        <v>67</v>
      </c>
      <c r="M57" s="9" t="s">
        <v>11</v>
      </c>
      <c r="P57" s="200"/>
    </row>
    <row r="58" spans="1:16" ht="13.5" customHeight="1" x14ac:dyDescent="0.25">
      <c r="A58" s="33">
        <v>49</v>
      </c>
      <c r="B58" s="28" t="s">
        <v>220</v>
      </c>
      <c r="C58" s="12" t="s">
        <v>132</v>
      </c>
      <c r="D58" s="4" t="s">
        <v>303</v>
      </c>
      <c r="E58" s="11">
        <f>'EE1'!O23+'EE2'!O23</f>
        <v>9300</v>
      </c>
      <c r="F58" s="11">
        <f>'EE1'!P23+'EE2'!P23</f>
        <v>921.58</v>
      </c>
      <c r="G58" s="11">
        <f>'EE1'!R23+'EE2'!R23</f>
        <v>0</v>
      </c>
      <c r="H58" s="42">
        <f t="shared" si="0"/>
        <v>921.58</v>
      </c>
      <c r="I58" s="42">
        <f t="shared" si="1"/>
        <v>8378.42</v>
      </c>
      <c r="J58" s="42">
        <f>'EE1'!V23+'EE2'!V23</f>
        <v>921.58</v>
      </c>
      <c r="K58" s="42">
        <f t="shared" si="2"/>
        <v>7456.84</v>
      </c>
      <c r="L58" s="4" t="s">
        <v>58</v>
      </c>
      <c r="M58" s="4" t="s">
        <v>11</v>
      </c>
      <c r="P58" s="200"/>
    </row>
    <row r="59" spans="1:16" ht="13.5" customHeight="1" x14ac:dyDescent="0.25">
      <c r="A59" s="33">
        <v>50</v>
      </c>
      <c r="B59" s="28" t="s">
        <v>180</v>
      </c>
      <c r="C59" s="10" t="s">
        <v>86</v>
      </c>
      <c r="D59" s="4" t="s">
        <v>304</v>
      </c>
      <c r="E59" s="11">
        <f>'EE1'!O24+'EE2'!O24</f>
        <v>13961.02</v>
      </c>
      <c r="F59" s="11">
        <f>'EE1'!P24+'EE2'!P24</f>
        <v>1887.69</v>
      </c>
      <c r="G59" s="11">
        <f>'EE1'!R24+'EE2'!R24</f>
        <v>0</v>
      </c>
      <c r="H59" s="42">
        <f t="shared" si="0"/>
        <v>1887.69</v>
      </c>
      <c r="I59" s="42">
        <f t="shared" si="1"/>
        <v>12073.33</v>
      </c>
      <c r="J59" s="42">
        <f>'EE1'!V24+'EE2'!V24</f>
        <v>1943.79</v>
      </c>
      <c r="K59" s="42">
        <f t="shared" si="2"/>
        <v>10129.540000000001</v>
      </c>
      <c r="L59" s="4" t="s">
        <v>85</v>
      </c>
      <c r="M59" s="4" t="s">
        <v>309</v>
      </c>
      <c r="P59" s="200"/>
    </row>
    <row r="60" spans="1:16" ht="13.5" customHeight="1" x14ac:dyDescent="0.25">
      <c r="A60" s="33">
        <v>51</v>
      </c>
      <c r="B60" s="28" t="s">
        <v>207</v>
      </c>
      <c r="C60" s="11" t="s">
        <v>87</v>
      </c>
      <c r="D60" s="4" t="s">
        <v>17</v>
      </c>
      <c r="E60" s="11">
        <f>'EE1'!O25+'EE2'!O25</f>
        <v>3712</v>
      </c>
      <c r="F60" s="11">
        <f>'EE1'!P25+'EE2'!P25</f>
        <v>215.53</v>
      </c>
      <c r="G60" s="11">
        <f>'EE1'!R25+'EE2'!R25</f>
        <v>0</v>
      </c>
      <c r="H60" s="42">
        <f t="shared" si="0"/>
        <v>215.53</v>
      </c>
      <c r="I60" s="42">
        <f t="shared" si="1"/>
        <v>3496.47</v>
      </c>
      <c r="J60" s="42">
        <f>'EE1'!V25+'EE2'!V25</f>
        <v>215.53</v>
      </c>
      <c r="K60" s="42">
        <f t="shared" si="2"/>
        <v>3280.9399999999996</v>
      </c>
      <c r="L60" s="4" t="s">
        <v>58</v>
      </c>
      <c r="M60" s="4" t="s">
        <v>14</v>
      </c>
      <c r="P60" s="200"/>
    </row>
    <row r="61" spans="1:16" ht="13.5" customHeight="1" x14ac:dyDescent="0.25">
      <c r="A61" s="33">
        <v>52</v>
      </c>
      <c r="B61" s="28" t="s">
        <v>236</v>
      </c>
      <c r="C61" s="11" t="s">
        <v>232</v>
      </c>
      <c r="D61" s="4" t="s">
        <v>17</v>
      </c>
      <c r="E61" s="11">
        <f>'EE1'!O26+'EE2'!O26</f>
        <v>5024</v>
      </c>
      <c r="F61" s="11">
        <f>'EE1'!P26+'EE2'!P26</f>
        <v>338.44</v>
      </c>
      <c r="G61" s="11">
        <f>'EE1'!R26+'EE2'!R26</f>
        <v>0</v>
      </c>
      <c r="H61" s="42">
        <f t="shared" si="0"/>
        <v>338.44</v>
      </c>
      <c r="I61" s="42">
        <f t="shared" si="1"/>
        <v>4685.5600000000004</v>
      </c>
      <c r="J61" s="42">
        <f>'EE1'!V26+'EE2'!V26</f>
        <v>338.44</v>
      </c>
      <c r="K61" s="42">
        <f t="shared" si="2"/>
        <v>4347.1200000000008</v>
      </c>
      <c r="L61" s="4" t="s">
        <v>58</v>
      </c>
      <c r="M61" s="4" t="s">
        <v>14</v>
      </c>
      <c r="P61" s="200"/>
    </row>
    <row r="62" spans="1:16" ht="13.5" customHeight="1" x14ac:dyDescent="0.25">
      <c r="A62" s="33">
        <v>53</v>
      </c>
      <c r="B62" s="28" t="s">
        <v>212</v>
      </c>
      <c r="C62" s="6" t="s">
        <v>241</v>
      </c>
      <c r="D62" s="4" t="s">
        <v>17</v>
      </c>
      <c r="E62" s="11">
        <f>'EE1'!O27+'EE2'!O27</f>
        <v>5564.4599999999991</v>
      </c>
      <c r="F62" s="11">
        <f>'EE1'!P27+'EE2'!P27</f>
        <v>397.25</v>
      </c>
      <c r="G62" s="11">
        <f>'EE1'!R27+'EE2'!R27</f>
        <v>0</v>
      </c>
      <c r="H62" s="42">
        <f t="shared" si="0"/>
        <v>397.25</v>
      </c>
      <c r="I62" s="42">
        <f t="shared" si="1"/>
        <v>5167.2099999999991</v>
      </c>
      <c r="J62" s="42">
        <f>'EE1'!V27+'EE2'!V27</f>
        <v>397.25</v>
      </c>
      <c r="K62" s="42">
        <f t="shared" si="2"/>
        <v>4769.9599999999991</v>
      </c>
      <c r="L62" s="4" t="s">
        <v>58</v>
      </c>
      <c r="M62" s="4" t="s">
        <v>14</v>
      </c>
      <c r="P62" s="200"/>
    </row>
    <row r="63" spans="1:16" ht="13.5" customHeight="1" x14ac:dyDescent="0.25">
      <c r="A63" s="33">
        <v>54</v>
      </c>
      <c r="B63" s="28" t="s">
        <v>213</v>
      </c>
      <c r="C63" s="6" t="s">
        <v>88</v>
      </c>
      <c r="D63" s="4" t="s">
        <v>17</v>
      </c>
      <c r="E63" s="11">
        <f>'EE1'!O28+'EE2'!O28</f>
        <v>6411.0599999999995</v>
      </c>
      <c r="F63" s="11">
        <f>'EE1'!P28+'EE2'!P28</f>
        <v>489.36</v>
      </c>
      <c r="G63" s="11">
        <f>'EE1'!R28+'EE2'!R28</f>
        <v>0</v>
      </c>
      <c r="H63" s="42">
        <f t="shared" si="0"/>
        <v>489.36</v>
      </c>
      <c r="I63" s="42">
        <f t="shared" si="1"/>
        <v>5921.7</v>
      </c>
      <c r="J63" s="42">
        <f>'EE1'!V28+'EE2'!V28</f>
        <v>489.36</v>
      </c>
      <c r="K63" s="42">
        <f t="shared" si="2"/>
        <v>5432.34</v>
      </c>
      <c r="L63" s="4" t="s">
        <v>58</v>
      </c>
      <c r="M63" s="4" t="s">
        <v>14</v>
      </c>
      <c r="P63" s="200"/>
    </row>
    <row r="64" spans="1:16" ht="13.5" customHeight="1" x14ac:dyDescent="0.25">
      <c r="A64" s="33">
        <v>55</v>
      </c>
      <c r="B64" s="28" t="s">
        <v>214</v>
      </c>
      <c r="C64" s="6" t="s">
        <v>89</v>
      </c>
      <c r="D64" s="4" t="s">
        <v>17</v>
      </c>
      <c r="E64" s="11">
        <f>'EE1'!O29+'EE2'!O29</f>
        <v>7064</v>
      </c>
      <c r="F64" s="11">
        <f>'EE1'!P29+'EE2'!P29</f>
        <v>560.40000000000009</v>
      </c>
      <c r="G64" s="11">
        <f>'EE1'!R29+'EE2'!R29</f>
        <v>0</v>
      </c>
      <c r="H64" s="42">
        <f t="shared" si="0"/>
        <v>560.40000000000009</v>
      </c>
      <c r="I64" s="42">
        <f t="shared" si="1"/>
        <v>6503.6</v>
      </c>
      <c r="J64" s="42">
        <f>'EE1'!V29+'EE2'!V29</f>
        <v>560.40000000000009</v>
      </c>
      <c r="K64" s="42">
        <f t="shared" si="2"/>
        <v>5943.2000000000007</v>
      </c>
      <c r="L64" s="4" t="s">
        <v>58</v>
      </c>
      <c r="M64" s="4" t="s">
        <v>14</v>
      </c>
      <c r="P64" s="200"/>
    </row>
    <row r="65" spans="1:16" ht="13.5" customHeight="1" x14ac:dyDescent="0.25">
      <c r="A65" s="33">
        <v>56</v>
      </c>
      <c r="B65" s="28" t="s">
        <v>209</v>
      </c>
      <c r="C65" s="6" t="s">
        <v>90</v>
      </c>
      <c r="D65" s="4" t="s">
        <v>17</v>
      </c>
      <c r="E65" s="11">
        <f>'EE1'!O30+'EE2'!O30</f>
        <v>4480</v>
      </c>
      <c r="F65" s="11">
        <f>'EE1'!P30+'EE2'!P30</f>
        <v>279.25</v>
      </c>
      <c r="G65" s="11">
        <f>'EE1'!R30+'EE2'!R30</f>
        <v>0</v>
      </c>
      <c r="H65" s="42">
        <f t="shared" si="0"/>
        <v>279.25</v>
      </c>
      <c r="I65" s="42">
        <f t="shared" si="1"/>
        <v>4200.75</v>
      </c>
      <c r="J65" s="42">
        <f>'EE1'!V30+'EE2'!V30</f>
        <v>279.25</v>
      </c>
      <c r="K65" s="42">
        <f t="shared" si="2"/>
        <v>3921.5</v>
      </c>
      <c r="L65" s="4" t="s">
        <v>58</v>
      </c>
      <c r="M65" s="4" t="s">
        <v>14</v>
      </c>
      <c r="P65" s="200"/>
    </row>
    <row r="66" spans="1:16" ht="13.5" customHeight="1" x14ac:dyDescent="0.25">
      <c r="A66" s="33">
        <v>57</v>
      </c>
      <c r="B66" s="28" t="s">
        <v>210</v>
      </c>
      <c r="C66" s="6" t="s">
        <v>91</v>
      </c>
      <c r="D66" s="4" t="s">
        <v>14</v>
      </c>
      <c r="E66" s="11">
        <f>'EE1'!O31+'EE2'!O31</f>
        <v>5548</v>
      </c>
      <c r="F66" s="11">
        <f>'EE1'!P31+'EE2'!P31</f>
        <v>395.46000000000004</v>
      </c>
      <c r="G66" s="11">
        <f>'EE1'!R31+'EE2'!R31</f>
        <v>0</v>
      </c>
      <c r="H66" s="42">
        <f t="shared" si="0"/>
        <v>395.46000000000004</v>
      </c>
      <c r="I66" s="42">
        <f t="shared" si="1"/>
        <v>5152.54</v>
      </c>
      <c r="J66" s="42">
        <f>'EE1'!V31+'EE2'!V31</f>
        <v>395.46000000000004</v>
      </c>
      <c r="K66" s="42">
        <f t="shared" si="2"/>
        <v>4757.08</v>
      </c>
      <c r="L66" s="4" t="s">
        <v>58</v>
      </c>
      <c r="M66" s="4" t="s">
        <v>14</v>
      </c>
      <c r="P66" s="200"/>
    </row>
    <row r="67" spans="1:16" ht="13.5" customHeight="1" x14ac:dyDescent="0.25">
      <c r="A67" s="33">
        <v>58</v>
      </c>
      <c r="B67" s="28" t="s">
        <v>217</v>
      </c>
      <c r="C67" s="10" t="s">
        <v>92</v>
      </c>
      <c r="D67" s="4" t="s">
        <v>17</v>
      </c>
      <c r="E67" s="11">
        <f>'EE1'!O32+'EE2'!O32</f>
        <v>3724</v>
      </c>
      <c r="F67" s="11">
        <f>'EE1'!P32+'EE2'!P32</f>
        <v>216.3</v>
      </c>
      <c r="G67" s="11">
        <f>'EE1'!R32+'EE2'!R32</f>
        <v>0</v>
      </c>
      <c r="H67" s="42">
        <f t="shared" si="0"/>
        <v>216.3</v>
      </c>
      <c r="I67" s="42">
        <f t="shared" si="1"/>
        <v>3507.7</v>
      </c>
      <c r="J67" s="42">
        <f>'EE1'!V32+'EE2'!V32</f>
        <v>216.3</v>
      </c>
      <c r="K67" s="42">
        <f t="shared" si="2"/>
        <v>3291.3999999999996</v>
      </c>
      <c r="L67" s="4" t="s">
        <v>58</v>
      </c>
      <c r="M67" s="4" t="s">
        <v>14</v>
      </c>
      <c r="P67" s="200"/>
    </row>
    <row r="68" spans="1:16" ht="13.5" customHeight="1" x14ac:dyDescent="0.25">
      <c r="A68" s="33">
        <v>59</v>
      </c>
      <c r="B68" s="28" t="s">
        <v>216</v>
      </c>
      <c r="C68" s="11" t="s">
        <v>93</v>
      </c>
      <c r="D68" s="4" t="s">
        <v>310</v>
      </c>
      <c r="E68" s="11">
        <f>'EE1'!O33+'EE2'!O33</f>
        <v>5150</v>
      </c>
      <c r="F68" s="11">
        <f>'EE1'!P33+'EE2'!P33</f>
        <v>352.15999999999997</v>
      </c>
      <c r="G68" s="11">
        <f>'EE1'!R33+'EE2'!R33</f>
        <v>0</v>
      </c>
      <c r="H68" s="42">
        <f t="shared" si="0"/>
        <v>352.15999999999997</v>
      </c>
      <c r="I68" s="42">
        <f t="shared" si="1"/>
        <v>4797.84</v>
      </c>
      <c r="J68" s="42">
        <f>'EE1'!V33+'EE2'!V33</f>
        <v>352.15999999999997</v>
      </c>
      <c r="K68" s="42">
        <f t="shared" si="2"/>
        <v>4445.68</v>
      </c>
      <c r="L68" s="4" t="s">
        <v>58</v>
      </c>
      <c r="M68" s="4" t="s">
        <v>309</v>
      </c>
      <c r="P68" s="200"/>
    </row>
    <row r="69" spans="1:16" ht="13.5" customHeight="1" x14ac:dyDescent="0.25">
      <c r="A69" s="33">
        <v>60</v>
      </c>
      <c r="B69" s="28" t="s">
        <v>218</v>
      </c>
      <c r="C69" s="12" t="s">
        <v>133</v>
      </c>
      <c r="D69" s="4" t="s">
        <v>17</v>
      </c>
      <c r="E69" s="11">
        <f>'EE1'!O34+'EE2'!O34</f>
        <v>6124</v>
      </c>
      <c r="F69" s="11">
        <f>'EE1'!P34+'EE2'!P34</f>
        <v>458.14</v>
      </c>
      <c r="G69" s="11">
        <f>'EE1'!R34+'EE2'!R34</f>
        <v>0</v>
      </c>
      <c r="H69" s="42">
        <f t="shared" si="0"/>
        <v>458.14</v>
      </c>
      <c r="I69" s="42">
        <f t="shared" si="1"/>
        <v>5665.86</v>
      </c>
      <c r="J69" s="42">
        <f>'EE1'!V34+'EE2'!V34</f>
        <v>458.14</v>
      </c>
      <c r="K69" s="42">
        <f t="shared" si="2"/>
        <v>5207.7199999999993</v>
      </c>
      <c r="L69" s="4" t="s">
        <v>58</v>
      </c>
      <c r="M69" s="4" t="s">
        <v>14</v>
      </c>
      <c r="P69" s="200"/>
    </row>
    <row r="70" spans="1:16" ht="13.5" customHeight="1" x14ac:dyDescent="0.25">
      <c r="A70" s="33">
        <v>61</v>
      </c>
      <c r="B70" s="28" t="s">
        <v>219</v>
      </c>
      <c r="C70" s="12" t="s">
        <v>134</v>
      </c>
      <c r="D70" s="4" t="s">
        <v>17</v>
      </c>
      <c r="E70" s="11">
        <f>'EE1'!O35+'EE2'!O35</f>
        <v>4924</v>
      </c>
      <c r="F70" s="11">
        <f>'EE1'!P35+'EE2'!P35</f>
        <v>327.56</v>
      </c>
      <c r="G70" s="11">
        <f>'EE1'!R35+'EE2'!R35</f>
        <v>0</v>
      </c>
      <c r="H70" s="42">
        <f t="shared" si="0"/>
        <v>327.56</v>
      </c>
      <c r="I70" s="42">
        <f t="shared" si="1"/>
        <v>4596.4399999999996</v>
      </c>
      <c r="J70" s="42">
        <f>'EE1'!V35+'EE2'!V35</f>
        <v>327.56</v>
      </c>
      <c r="K70" s="42">
        <f t="shared" si="2"/>
        <v>4268.8799999999992</v>
      </c>
      <c r="L70" s="4" t="s">
        <v>58</v>
      </c>
      <c r="M70" s="4" t="s">
        <v>14</v>
      </c>
      <c r="P70" s="200"/>
    </row>
    <row r="71" spans="1:16" ht="13.5" customHeight="1" x14ac:dyDescent="0.25">
      <c r="A71" s="33">
        <v>62</v>
      </c>
      <c r="B71" s="28" t="s">
        <v>220</v>
      </c>
      <c r="C71" s="13" t="s">
        <v>233</v>
      </c>
      <c r="D71" s="4" t="s">
        <v>17</v>
      </c>
      <c r="E71" s="11">
        <f>'EE1'!O36+'EE2'!O36</f>
        <v>4688</v>
      </c>
      <c r="F71" s="11">
        <f>'EE1'!P36+'EE2'!P36</f>
        <v>301.52999999999997</v>
      </c>
      <c r="G71" s="11">
        <f>'EE1'!R36+'EE2'!R36</f>
        <v>0</v>
      </c>
      <c r="H71" s="42">
        <f t="shared" si="0"/>
        <v>301.52999999999997</v>
      </c>
      <c r="I71" s="42">
        <f t="shared" si="1"/>
        <v>4386.47</v>
      </c>
      <c r="J71" s="42">
        <f>'EE1'!V36+'EE2'!V36</f>
        <v>301.52999999999997</v>
      </c>
      <c r="K71" s="42">
        <f t="shared" si="2"/>
        <v>4084.9400000000005</v>
      </c>
      <c r="L71" s="4" t="s">
        <v>58</v>
      </c>
      <c r="M71" s="4" t="s">
        <v>14</v>
      </c>
      <c r="P71" s="200"/>
    </row>
    <row r="72" spans="1:16" ht="13.5" customHeight="1" x14ac:dyDescent="0.25">
      <c r="A72" s="33">
        <v>63</v>
      </c>
      <c r="B72" s="28" t="s">
        <v>186</v>
      </c>
      <c r="C72" s="13" t="s">
        <v>96</v>
      </c>
      <c r="D72" s="4" t="s">
        <v>95</v>
      </c>
      <c r="E72" s="11">
        <f>'EE1'!O37+'EE2'!O37</f>
        <v>7017.9183999999996</v>
      </c>
      <c r="F72" s="11">
        <f>'EE1'!P37+'EE2'!P37</f>
        <v>555.38</v>
      </c>
      <c r="G72" s="11">
        <f>'EE1'!R37+'EE2'!R37</f>
        <v>100</v>
      </c>
      <c r="H72" s="42">
        <f t="shared" si="0"/>
        <v>655.38</v>
      </c>
      <c r="I72" s="42">
        <f t="shared" si="1"/>
        <v>6362.5383999999995</v>
      </c>
      <c r="J72" s="42">
        <f>'EE1'!V37+'EE2'!V37</f>
        <v>655.38</v>
      </c>
      <c r="K72" s="42">
        <f t="shared" si="2"/>
        <v>5707.1583999999993</v>
      </c>
      <c r="L72" s="4" t="s">
        <v>58</v>
      </c>
      <c r="M72" s="4" t="s">
        <v>94</v>
      </c>
      <c r="P72" s="200"/>
    </row>
    <row r="73" spans="1:16" ht="13.5" customHeight="1" x14ac:dyDescent="0.25">
      <c r="A73" s="33">
        <v>64</v>
      </c>
      <c r="B73" s="26" t="s">
        <v>197</v>
      </c>
      <c r="C73" s="10" t="s">
        <v>98</v>
      </c>
      <c r="D73" s="4" t="s">
        <v>97</v>
      </c>
      <c r="E73" s="11">
        <f>'EE1'!O38+'EE2'!O38</f>
        <v>33280.199999999997</v>
      </c>
      <c r="F73" s="11">
        <f>'EE1'!P38+'EE2'!P38</f>
        <v>6353.42</v>
      </c>
      <c r="G73" s="11">
        <f>'EE1'!R38+'EE2'!R38</f>
        <v>0</v>
      </c>
      <c r="H73" s="42">
        <f t="shared" si="0"/>
        <v>6353.42</v>
      </c>
      <c r="I73" s="42">
        <f t="shared" si="1"/>
        <v>26926.78</v>
      </c>
      <c r="J73" s="42">
        <f>'EE1'!V38+'EE2'!V38</f>
        <v>6353.42</v>
      </c>
      <c r="K73" s="42">
        <f t="shared" si="2"/>
        <v>20573.36</v>
      </c>
      <c r="L73" s="4" t="s">
        <v>67</v>
      </c>
      <c r="M73" s="4" t="s">
        <v>94</v>
      </c>
      <c r="P73" s="200"/>
    </row>
    <row r="74" spans="1:16" ht="13.5" customHeight="1" x14ac:dyDescent="0.25">
      <c r="A74" s="33">
        <v>65</v>
      </c>
      <c r="B74" s="28" t="s">
        <v>203</v>
      </c>
      <c r="C74" s="11" t="s">
        <v>100</v>
      </c>
      <c r="D74" s="4" t="s">
        <v>99</v>
      </c>
      <c r="E74" s="11">
        <f>'EE1'!O39+'EE2'!O39</f>
        <v>6186</v>
      </c>
      <c r="F74" s="11">
        <f>'EE1'!P39+'EE2'!P39</f>
        <v>464.87</v>
      </c>
      <c r="G74" s="11">
        <f>'EE1'!R39+'EE2'!R39</f>
        <v>0</v>
      </c>
      <c r="H74" s="42">
        <f t="shared" si="0"/>
        <v>464.87</v>
      </c>
      <c r="I74" s="42">
        <f t="shared" si="1"/>
        <v>5721.13</v>
      </c>
      <c r="J74" s="42">
        <f>'EE1'!V39+'EE2'!V39</f>
        <v>464.87</v>
      </c>
      <c r="K74" s="42">
        <f t="shared" si="2"/>
        <v>5256.26</v>
      </c>
      <c r="L74" s="4" t="s">
        <v>58</v>
      </c>
      <c r="M74" s="4" t="s">
        <v>23</v>
      </c>
      <c r="P74" s="200"/>
    </row>
    <row r="75" spans="1:16" ht="13.5" customHeight="1" x14ac:dyDescent="0.25">
      <c r="A75" s="33">
        <v>66</v>
      </c>
      <c r="B75" s="28" t="s">
        <v>211</v>
      </c>
      <c r="C75" s="14" t="s">
        <v>101</v>
      </c>
      <c r="D75" s="4" t="s">
        <v>17</v>
      </c>
      <c r="E75" s="11">
        <f>'EE1'!O40+'EE2'!O40</f>
        <v>5680</v>
      </c>
      <c r="F75" s="11">
        <f>'EE1'!P40+'EE2'!P40</f>
        <v>409.82</v>
      </c>
      <c r="G75" s="11">
        <f>'EE1'!R40+'EE2'!R40</f>
        <v>0</v>
      </c>
      <c r="H75" s="42">
        <f t="shared" ref="H75:H102" si="3">F75+G75</f>
        <v>409.82</v>
      </c>
      <c r="I75" s="42">
        <f t="shared" ref="I75:I102" si="4">E75-H75</f>
        <v>5270.18</v>
      </c>
      <c r="J75" s="42">
        <f>'EE1'!V40+'EE2'!V40</f>
        <v>409.82</v>
      </c>
      <c r="K75" s="42">
        <f t="shared" ref="K75:K102" si="5">I75-J75</f>
        <v>4860.3600000000006</v>
      </c>
      <c r="L75" s="4" t="s">
        <v>58</v>
      </c>
      <c r="M75" s="4" t="s">
        <v>23</v>
      </c>
      <c r="P75" s="200"/>
    </row>
    <row r="76" spans="1:16" ht="13.5" customHeight="1" x14ac:dyDescent="0.25">
      <c r="A76" s="33">
        <v>67</v>
      </c>
      <c r="B76" s="28" t="s">
        <v>215</v>
      </c>
      <c r="C76" s="6" t="s">
        <v>103</v>
      </c>
      <c r="D76" s="4" t="s">
        <v>102</v>
      </c>
      <c r="E76" s="11">
        <f>'EE1'!O41+'EE2'!O41</f>
        <v>16958.86</v>
      </c>
      <c r="F76" s="11">
        <f>'EE1'!P41+'EE2'!P41</f>
        <v>2528.0299999999997</v>
      </c>
      <c r="G76" s="11">
        <f>'EE1'!R41+'EE2'!R41</f>
        <v>0</v>
      </c>
      <c r="H76" s="42">
        <f t="shared" si="3"/>
        <v>2528.0299999999997</v>
      </c>
      <c r="I76" s="42">
        <f t="shared" si="4"/>
        <v>14430.830000000002</v>
      </c>
      <c r="J76" s="42">
        <f>'EE1'!V41+'EE2'!V41</f>
        <v>2528.0299999999997</v>
      </c>
      <c r="K76" s="42">
        <f t="shared" si="5"/>
        <v>11902.800000000003</v>
      </c>
      <c r="L76" s="4" t="s">
        <v>58</v>
      </c>
      <c r="M76" s="4" t="s">
        <v>23</v>
      </c>
      <c r="P76" s="200"/>
    </row>
    <row r="77" spans="1:16" ht="13.5" customHeight="1" x14ac:dyDescent="0.25">
      <c r="A77" s="33">
        <v>68</v>
      </c>
      <c r="B77" s="28" t="s">
        <v>178</v>
      </c>
      <c r="C77" s="11" t="s">
        <v>104</v>
      </c>
      <c r="D77" s="4" t="s">
        <v>25</v>
      </c>
      <c r="E77" s="11">
        <f>'EE1'!O42+'EE2'!O42</f>
        <v>3424</v>
      </c>
      <c r="F77" s="11">
        <f>'EE1'!P42+'EE2'!P42</f>
        <v>1197.1000000000001</v>
      </c>
      <c r="G77" s="11">
        <f>'EE1'!R42+'EE2'!R42</f>
        <v>0</v>
      </c>
      <c r="H77" s="42">
        <f t="shared" si="3"/>
        <v>1197.1000000000001</v>
      </c>
      <c r="I77" s="42">
        <f t="shared" si="4"/>
        <v>2226.8999999999996</v>
      </c>
      <c r="J77" s="42">
        <f>'EE1'!V42+'EE2'!V42</f>
        <v>1197.1000000000001</v>
      </c>
      <c r="K77" s="42">
        <f t="shared" si="5"/>
        <v>1029.7999999999995</v>
      </c>
      <c r="L77" s="4" t="s">
        <v>58</v>
      </c>
      <c r="M77" s="4" t="s">
        <v>24</v>
      </c>
      <c r="P77" s="200"/>
    </row>
    <row r="78" spans="1:16" ht="13.5" customHeight="1" x14ac:dyDescent="0.25">
      <c r="A78" s="33">
        <v>69</v>
      </c>
      <c r="B78" s="28" t="s">
        <v>179</v>
      </c>
      <c r="C78" s="10" t="s">
        <v>105</v>
      </c>
      <c r="D78" s="4" t="s">
        <v>45</v>
      </c>
      <c r="E78" s="11">
        <f>'EE1'!O43+'EE2'!O43</f>
        <v>10840</v>
      </c>
      <c r="F78" s="11">
        <f>'EE1'!P43+'EE2'!P43</f>
        <v>1221.04</v>
      </c>
      <c r="G78" s="11">
        <f>'EE1'!R43+'EE2'!R43</f>
        <v>0</v>
      </c>
      <c r="H78" s="42">
        <f t="shared" si="3"/>
        <v>1221.04</v>
      </c>
      <c r="I78" s="42">
        <f t="shared" si="4"/>
        <v>9618.9599999999991</v>
      </c>
      <c r="J78" s="42">
        <f>'EE1'!V43+'EE2'!V43</f>
        <v>1221.04</v>
      </c>
      <c r="K78" s="42">
        <f t="shared" si="5"/>
        <v>8397.9199999999983</v>
      </c>
      <c r="L78" s="4" t="s">
        <v>58</v>
      </c>
      <c r="M78" s="4" t="s">
        <v>24</v>
      </c>
      <c r="P78" s="200"/>
    </row>
    <row r="79" spans="1:16" ht="13.5" customHeight="1" x14ac:dyDescent="0.25">
      <c r="A79" s="33">
        <v>70</v>
      </c>
      <c r="B79" s="28" t="s">
        <v>187</v>
      </c>
      <c r="C79" s="10" t="s">
        <v>106</v>
      </c>
      <c r="D79" s="4" t="s">
        <v>25</v>
      </c>
      <c r="E79" s="11">
        <f>'EE1'!O44+'EE2'!O44</f>
        <v>3300.527</v>
      </c>
      <c r="F79" s="11">
        <f>'EE1'!P44+'EE2'!P44</f>
        <v>189.2</v>
      </c>
      <c r="G79" s="11">
        <f>'EE1'!R44+'EE2'!R44</f>
        <v>0</v>
      </c>
      <c r="H79" s="42">
        <f t="shared" si="3"/>
        <v>189.2</v>
      </c>
      <c r="I79" s="42">
        <f t="shared" si="4"/>
        <v>3111.3270000000002</v>
      </c>
      <c r="J79" s="42">
        <f>'EE1'!V44+'EE2'!V44</f>
        <v>189.2</v>
      </c>
      <c r="K79" s="42">
        <f t="shared" si="5"/>
        <v>2922.1270000000004</v>
      </c>
      <c r="L79" s="4" t="s">
        <v>58</v>
      </c>
      <c r="M79" s="4" t="s">
        <v>24</v>
      </c>
      <c r="P79" s="200"/>
    </row>
    <row r="80" spans="1:16" ht="13.5" customHeight="1" x14ac:dyDescent="0.25">
      <c r="A80" s="33">
        <v>71</v>
      </c>
      <c r="B80" s="28" t="s">
        <v>191</v>
      </c>
      <c r="C80" s="11" t="s">
        <v>107</v>
      </c>
      <c r="D80" s="4" t="s">
        <v>25</v>
      </c>
      <c r="E80" s="11">
        <f>'EE1'!O45+'EE2'!O45</f>
        <v>4579.08</v>
      </c>
      <c r="F80" s="11">
        <f>'EE1'!P45+'EE2'!P45</f>
        <v>290.02999999999997</v>
      </c>
      <c r="G80" s="11">
        <f>'EE1'!R45+'EE2'!R45</f>
        <v>0</v>
      </c>
      <c r="H80" s="42">
        <f t="shared" si="3"/>
        <v>290.02999999999997</v>
      </c>
      <c r="I80" s="42">
        <f t="shared" si="4"/>
        <v>4289.05</v>
      </c>
      <c r="J80" s="42">
        <f>'EE1'!V45+'EE2'!V45</f>
        <v>290.02999999999997</v>
      </c>
      <c r="K80" s="42">
        <f t="shared" si="5"/>
        <v>3999.0200000000004</v>
      </c>
      <c r="L80" s="4" t="s">
        <v>58</v>
      </c>
      <c r="M80" s="4" t="s">
        <v>24</v>
      </c>
      <c r="P80" s="200"/>
    </row>
    <row r="81" spans="1:16" ht="13.5" customHeight="1" x14ac:dyDescent="0.25">
      <c r="A81" s="33">
        <v>72</v>
      </c>
      <c r="B81" s="28" t="s">
        <v>192</v>
      </c>
      <c r="C81" s="11" t="s">
        <v>108</v>
      </c>
      <c r="D81" s="4" t="s">
        <v>25</v>
      </c>
      <c r="E81" s="11">
        <f>'EE1'!O46+'EE2'!O46</f>
        <v>4579.08</v>
      </c>
      <c r="F81" s="11">
        <f>'EE1'!P46+'EE2'!P46</f>
        <v>290.02999999999997</v>
      </c>
      <c r="G81" s="11">
        <f>'EE1'!R46+'EE2'!R46</f>
        <v>0</v>
      </c>
      <c r="H81" s="42">
        <f t="shared" si="3"/>
        <v>290.02999999999997</v>
      </c>
      <c r="I81" s="42">
        <f t="shared" si="4"/>
        <v>4289.05</v>
      </c>
      <c r="J81" s="42">
        <f>'EE1'!V46+'EE2'!V46</f>
        <v>290.02999999999997</v>
      </c>
      <c r="K81" s="42">
        <f t="shared" si="5"/>
        <v>3999.0200000000004</v>
      </c>
      <c r="L81" s="4" t="s">
        <v>58</v>
      </c>
      <c r="M81" s="4" t="s">
        <v>24</v>
      </c>
      <c r="P81" s="200"/>
    </row>
    <row r="82" spans="1:16" ht="13.5" customHeight="1" x14ac:dyDescent="0.25">
      <c r="A82" s="33">
        <v>73</v>
      </c>
      <c r="B82" s="28" t="s">
        <v>193</v>
      </c>
      <c r="C82" s="10" t="s">
        <v>109</v>
      </c>
      <c r="D82" s="4" t="s">
        <v>45</v>
      </c>
      <c r="E82" s="11">
        <f>'EE1'!O47+'EE2'!O47</f>
        <v>12360</v>
      </c>
      <c r="F82" s="11">
        <f>'EE1'!P47+'EE2'!P47</f>
        <v>1545.72</v>
      </c>
      <c r="G82" s="11">
        <f>'EE1'!R47+'EE2'!R47</f>
        <v>0</v>
      </c>
      <c r="H82" s="42">
        <f t="shared" si="3"/>
        <v>1545.72</v>
      </c>
      <c r="I82" s="42">
        <f t="shared" si="4"/>
        <v>10814.28</v>
      </c>
      <c r="J82" s="42">
        <f>'EE1'!V47+'EE2'!V47</f>
        <v>1545.72</v>
      </c>
      <c r="K82" s="42">
        <f t="shared" si="5"/>
        <v>9268.5600000000013</v>
      </c>
      <c r="L82" s="4" t="s">
        <v>58</v>
      </c>
      <c r="M82" s="4" t="s">
        <v>24</v>
      </c>
      <c r="P82" s="200"/>
    </row>
    <row r="83" spans="1:16" ht="13.5" customHeight="1" x14ac:dyDescent="0.25">
      <c r="A83" s="33">
        <v>74</v>
      </c>
      <c r="B83" s="28" t="s">
        <v>196</v>
      </c>
      <c r="C83" s="11" t="s">
        <v>111</v>
      </c>
      <c r="D83" s="4" t="s">
        <v>110</v>
      </c>
      <c r="E83" s="11">
        <f>'EE1'!O48+'EE2'!O48</f>
        <v>6677.1600000000008</v>
      </c>
      <c r="F83" s="11">
        <f>'EE1'!P48+'EE2'!P48</f>
        <v>518.30999999999995</v>
      </c>
      <c r="G83" s="11">
        <f>'EE1'!R48+'EE2'!R48</f>
        <v>97.52</v>
      </c>
      <c r="H83" s="42">
        <f t="shared" si="3"/>
        <v>615.82999999999993</v>
      </c>
      <c r="I83" s="42">
        <f t="shared" si="4"/>
        <v>6061.3300000000008</v>
      </c>
      <c r="J83" s="42">
        <f>'EE1'!V48+'EE2'!V48</f>
        <v>615.82999999999993</v>
      </c>
      <c r="K83" s="42">
        <f t="shared" si="5"/>
        <v>5445.5000000000009</v>
      </c>
      <c r="L83" s="4" t="s">
        <v>58</v>
      </c>
      <c r="M83" s="4" t="s">
        <v>24</v>
      </c>
      <c r="P83" s="200"/>
    </row>
    <row r="84" spans="1:16" ht="13.5" customHeight="1" x14ac:dyDescent="0.25">
      <c r="A84" s="33">
        <v>75</v>
      </c>
      <c r="B84" s="26" t="s">
        <v>200</v>
      </c>
      <c r="C84" s="11" t="s">
        <v>113</v>
      </c>
      <c r="D84" s="4" t="s">
        <v>112</v>
      </c>
      <c r="E84" s="11">
        <f>'EE1'!O49+'EE2'!O49</f>
        <v>8773.5400000000009</v>
      </c>
      <c r="F84" s="11">
        <f>'EE1'!P49+'EE2'!P49</f>
        <v>827.23</v>
      </c>
      <c r="G84" s="11">
        <f>'EE1'!R49+'EE2'!R49</f>
        <v>0</v>
      </c>
      <c r="H84" s="42">
        <f t="shared" si="3"/>
        <v>827.23</v>
      </c>
      <c r="I84" s="42">
        <f t="shared" si="4"/>
        <v>7946.3100000000013</v>
      </c>
      <c r="J84" s="42">
        <f>'EE1'!V49+'EE2'!V49</f>
        <v>827.23</v>
      </c>
      <c r="K84" s="42">
        <f t="shared" si="5"/>
        <v>7119.0800000000017</v>
      </c>
      <c r="L84" s="4" t="s">
        <v>58</v>
      </c>
      <c r="M84" s="4" t="s">
        <v>24</v>
      </c>
      <c r="P84" s="200"/>
    </row>
    <row r="85" spans="1:16" ht="13.5" customHeight="1" x14ac:dyDescent="0.25">
      <c r="A85" s="33">
        <v>76</v>
      </c>
      <c r="B85" s="28" t="s">
        <v>201</v>
      </c>
      <c r="C85" s="11" t="s">
        <v>114</v>
      </c>
      <c r="D85" s="4" t="s">
        <v>50</v>
      </c>
      <c r="E85" s="11">
        <f>'EE1'!O50+'EE2'!O50</f>
        <v>4108.8</v>
      </c>
      <c r="F85" s="11">
        <f>'EE1'!P50+'EE2'!P50</f>
        <v>242.69</v>
      </c>
      <c r="G85" s="11">
        <f>'EE1'!R50+'EE2'!R50</f>
        <v>0</v>
      </c>
      <c r="H85" s="42">
        <f t="shared" si="3"/>
        <v>242.69</v>
      </c>
      <c r="I85" s="42">
        <f t="shared" si="4"/>
        <v>3866.11</v>
      </c>
      <c r="J85" s="42">
        <f>'EE1'!V50+'EE2'!V50</f>
        <v>242.69</v>
      </c>
      <c r="K85" s="42">
        <f t="shared" si="5"/>
        <v>3623.42</v>
      </c>
      <c r="L85" s="4" t="s">
        <v>58</v>
      </c>
      <c r="M85" s="4" t="s">
        <v>24</v>
      </c>
      <c r="P85" s="200"/>
    </row>
    <row r="86" spans="1:16" ht="13.5" customHeight="1" x14ac:dyDescent="0.25">
      <c r="A86" s="33">
        <v>77</v>
      </c>
      <c r="B86" s="28" t="s">
        <v>206</v>
      </c>
      <c r="C86" s="11" t="s">
        <v>116</v>
      </c>
      <c r="D86" s="4" t="s">
        <v>115</v>
      </c>
      <c r="E86" s="11">
        <f>'EE1'!O51+'EE2'!O51</f>
        <v>9600</v>
      </c>
      <c r="F86" s="11">
        <f>'EE1'!P51+'EE2'!P51</f>
        <v>973.33999999999992</v>
      </c>
      <c r="G86" s="11">
        <f>'EE1'!R51+'EE2'!R51</f>
        <v>0</v>
      </c>
      <c r="H86" s="42">
        <f t="shared" si="3"/>
        <v>973.33999999999992</v>
      </c>
      <c r="I86" s="42">
        <f t="shared" si="4"/>
        <v>8626.66</v>
      </c>
      <c r="J86" s="42">
        <f>'EE1'!V51+'EE2'!V51</f>
        <v>3757.68</v>
      </c>
      <c r="K86" s="42">
        <f t="shared" si="5"/>
        <v>4868.9799999999996</v>
      </c>
      <c r="L86" s="4" t="s">
        <v>58</v>
      </c>
      <c r="M86" s="4" t="s">
        <v>24</v>
      </c>
      <c r="P86" s="200"/>
    </row>
    <row r="87" spans="1:16" ht="13.5" customHeight="1" x14ac:dyDescent="0.25">
      <c r="A87" s="33">
        <v>78</v>
      </c>
      <c r="B87" s="28" t="s">
        <v>208</v>
      </c>
      <c r="C87" s="6" t="s">
        <v>117</v>
      </c>
      <c r="D87" s="4" t="s">
        <v>25</v>
      </c>
      <c r="E87" s="11">
        <f>'EE1'!O52+'EE2'!O52</f>
        <v>5300.3000000000011</v>
      </c>
      <c r="F87" s="11">
        <f>'EE1'!P52+'EE2'!P52</f>
        <v>368.51</v>
      </c>
      <c r="G87" s="11">
        <f>'EE1'!R52+'EE2'!R52</f>
        <v>0</v>
      </c>
      <c r="H87" s="42">
        <f t="shared" si="3"/>
        <v>368.51</v>
      </c>
      <c r="I87" s="42">
        <f t="shared" si="4"/>
        <v>4931.7900000000009</v>
      </c>
      <c r="J87" s="42">
        <f>'EE1'!V52+'EE2'!V52</f>
        <v>368.51</v>
      </c>
      <c r="K87" s="42">
        <f t="shared" si="5"/>
        <v>4563.2800000000007</v>
      </c>
      <c r="L87" s="4" t="s">
        <v>58</v>
      </c>
      <c r="M87" s="4" t="s">
        <v>24</v>
      </c>
      <c r="P87" s="200"/>
    </row>
    <row r="88" spans="1:16" ht="13.5" customHeight="1" x14ac:dyDescent="0.25">
      <c r="A88" s="33">
        <v>79</v>
      </c>
      <c r="B88" s="28" t="s">
        <v>238</v>
      </c>
      <c r="C88" s="4" t="s">
        <v>234</v>
      </c>
      <c r="D88" s="4" t="s">
        <v>25</v>
      </c>
      <c r="E88" s="11">
        <f>'EE1'!O53+'EE2'!O53</f>
        <v>5300.3000000000011</v>
      </c>
      <c r="F88" s="11">
        <f>'EE1'!P53+'EE2'!P53</f>
        <v>368.51</v>
      </c>
      <c r="G88" s="11">
        <f>'EE1'!R53+'EE2'!R53</f>
        <v>0</v>
      </c>
      <c r="H88" s="42">
        <f t="shared" si="3"/>
        <v>368.51</v>
      </c>
      <c r="I88" s="42">
        <f t="shared" si="4"/>
        <v>4931.7900000000009</v>
      </c>
      <c r="J88" s="42">
        <f>'EE1'!V53+'EE2'!V53</f>
        <v>368.51</v>
      </c>
      <c r="K88" s="42">
        <f t="shared" si="5"/>
        <v>4563.2800000000007</v>
      </c>
      <c r="L88" s="4" t="s">
        <v>58</v>
      </c>
      <c r="M88" s="4" t="s">
        <v>24</v>
      </c>
      <c r="P88" s="200"/>
    </row>
    <row r="89" spans="1:16" ht="13.5" customHeight="1" x14ac:dyDescent="0.25">
      <c r="A89" s="33">
        <v>80</v>
      </c>
      <c r="B89" s="28" t="s">
        <v>244</v>
      </c>
      <c r="C89" s="29" t="s">
        <v>242</v>
      </c>
      <c r="D89" s="4" t="s">
        <v>25</v>
      </c>
      <c r="E89" s="11">
        <f>'EE1'!O54+'EE2'!O54</f>
        <v>4437.76</v>
      </c>
      <c r="F89" s="11">
        <f>'EE1'!P54+'EE2'!P54</f>
        <v>274.66000000000003</v>
      </c>
      <c r="G89" s="11">
        <f>'EE1'!R54+'EE2'!R54</f>
        <v>0</v>
      </c>
      <c r="H89" s="42">
        <f t="shared" si="3"/>
        <v>274.66000000000003</v>
      </c>
      <c r="I89" s="42">
        <f t="shared" si="4"/>
        <v>4163.1000000000004</v>
      </c>
      <c r="J89" s="42">
        <f>'EE1'!V54+'EE2'!V54</f>
        <v>274.66000000000003</v>
      </c>
      <c r="K89" s="42">
        <f t="shared" si="5"/>
        <v>3888.4400000000005</v>
      </c>
      <c r="L89" s="4" t="s">
        <v>58</v>
      </c>
      <c r="M89" s="4" t="s">
        <v>24</v>
      </c>
      <c r="P89" s="200"/>
    </row>
    <row r="90" spans="1:16" ht="13.5" customHeight="1" x14ac:dyDescent="0.25">
      <c r="A90" s="33">
        <v>81</v>
      </c>
      <c r="B90" s="28" t="s">
        <v>300</v>
      </c>
      <c r="C90" s="29" t="s">
        <v>293</v>
      </c>
      <c r="D90" s="4" t="s">
        <v>17</v>
      </c>
      <c r="E90" s="11">
        <f>'EE1'!O55+'EE2'!O55</f>
        <v>0</v>
      </c>
      <c r="F90" s="11">
        <f>'EE1'!P55+'EE2'!P55</f>
        <v>0</v>
      </c>
      <c r="G90" s="11">
        <f>'EE1'!R55+'EE2'!R55</f>
        <v>0</v>
      </c>
      <c r="H90" s="42">
        <f t="shared" si="3"/>
        <v>0</v>
      </c>
      <c r="I90" s="42">
        <f t="shared" si="4"/>
        <v>0</v>
      </c>
      <c r="J90" s="42">
        <f>'EE1'!V55+'EE2'!V55</f>
        <v>0</v>
      </c>
      <c r="K90" s="42">
        <f t="shared" si="5"/>
        <v>0</v>
      </c>
      <c r="L90" s="4" t="s">
        <v>58</v>
      </c>
      <c r="M90" s="4" t="s">
        <v>24</v>
      </c>
      <c r="P90" s="200"/>
    </row>
    <row r="91" spans="1:16" ht="13.5" customHeight="1" x14ac:dyDescent="0.25">
      <c r="A91" s="33">
        <v>82</v>
      </c>
      <c r="B91" s="30" t="s">
        <v>221</v>
      </c>
      <c r="C91" s="11" t="s">
        <v>120</v>
      </c>
      <c r="D91" s="4" t="s">
        <v>30</v>
      </c>
      <c r="E91" s="11">
        <f>'EE1'!O56+'EE2'!O56</f>
        <v>3300.62</v>
      </c>
      <c r="F91" s="11">
        <f>'EE1'!P56+'EE2'!P56</f>
        <v>182.8</v>
      </c>
      <c r="G91" s="11">
        <f>'EE1'!R56+'EE2'!R56</f>
        <v>72.12</v>
      </c>
      <c r="H91" s="42">
        <f t="shared" si="3"/>
        <v>254.92000000000002</v>
      </c>
      <c r="I91" s="42">
        <f t="shared" si="4"/>
        <v>3045.7</v>
      </c>
      <c r="J91" s="42">
        <f>'EE1'!V56+'EE2'!V56</f>
        <v>254.92000000000002</v>
      </c>
      <c r="K91" s="42">
        <f t="shared" si="5"/>
        <v>2790.7799999999997</v>
      </c>
      <c r="L91" s="4" t="s">
        <v>58</v>
      </c>
      <c r="M91" s="4" t="s">
        <v>119</v>
      </c>
      <c r="P91" s="200"/>
    </row>
    <row r="92" spans="1:16" ht="13.5" customHeight="1" x14ac:dyDescent="0.25">
      <c r="A92" s="33">
        <v>83</v>
      </c>
      <c r="B92" s="30" t="s">
        <v>222</v>
      </c>
      <c r="C92" s="11" t="s">
        <v>121</v>
      </c>
      <c r="D92" s="4" t="s">
        <v>9</v>
      </c>
      <c r="E92" s="11">
        <f>'EE1'!O57+'EE2'!O57</f>
        <v>3700.7</v>
      </c>
      <c r="F92" s="11">
        <f>'EE1'!P57+'EE2'!P57</f>
        <v>214.81</v>
      </c>
      <c r="G92" s="11">
        <f>'EE1'!R57+'EE2'!R57</f>
        <v>0</v>
      </c>
      <c r="H92" s="42">
        <f t="shared" si="3"/>
        <v>214.81</v>
      </c>
      <c r="I92" s="42">
        <f t="shared" si="4"/>
        <v>3485.89</v>
      </c>
      <c r="J92" s="42">
        <f>'EE1'!V57+'EE2'!V57</f>
        <v>214.81</v>
      </c>
      <c r="K92" s="42">
        <f t="shared" si="5"/>
        <v>3271.08</v>
      </c>
      <c r="L92" s="4" t="s">
        <v>58</v>
      </c>
      <c r="M92" s="4" t="s">
        <v>119</v>
      </c>
      <c r="P92" s="200"/>
    </row>
    <row r="93" spans="1:16" ht="13.5" customHeight="1" x14ac:dyDescent="0.25">
      <c r="A93" s="33">
        <v>84</v>
      </c>
      <c r="B93" s="30" t="s">
        <v>223</v>
      </c>
      <c r="C93" s="11" t="s">
        <v>122</v>
      </c>
      <c r="D93" s="4" t="s">
        <v>25</v>
      </c>
      <c r="E93" s="11">
        <f>'EE1'!O58+'EE2'!O58</f>
        <v>3700.7</v>
      </c>
      <c r="F93" s="11">
        <f>'EE1'!P58+'EE2'!P58</f>
        <v>214.81</v>
      </c>
      <c r="G93" s="11">
        <f>'EE1'!R58+'EE2'!R58</f>
        <v>72.12</v>
      </c>
      <c r="H93" s="42">
        <f t="shared" si="3"/>
        <v>286.93</v>
      </c>
      <c r="I93" s="42">
        <f t="shared" si="4"/>
        <v>3413.77</v>
      </c>
      <c r="J93" s="42">
        <f>'EE1'!V58+'EE2'!V58</f>
        <v>286.93</v>
      </c>
      <c r="K93" s="42">
        <f t="shared" si="5"/>
        <v>3126.84</v>
      </c>
      <c r="L93" s="4" t="s">
        <v>58</v>
      </c>
      <c r="M93" s="4" t="s">
        <v>119</v>
      </c>
      <c r="P93" s="200"/>
    </row>
    <row r="94" spans="1:16" ht="13.5" customHeight="1" x14ac:dyDescent="0.25">
      <c r="A94" s="33">
        <v>85</v>
      </c>
      <c r="B94" s="30" t="s">
        <v>224</v>
      </c>
      <c r="C94" s="11" t="s">
        <v>123</v>
      </c>
      <c r="D94" s="2" t="s">
        <v>25</v>
      </c>
      <c r="E94" s="11">
        <f>'EE1'!O59+'EE2'!O59</f>
        <v>3700.7</v>
      </c>
      <c r="F94" s="11">
        <f>'EE1'!P59+'EE2'!P59</f>
        <v>110.61</v>
      </c>
      <c r="G94" s="11">
        <f>'EE1'!R59+'EE2'!R59</f>
        <v>72.12</v>
      </c>
      <c r="H94" s="42">
        <f t="shared" si="3"/>
        <v>182.73000000000002</v>
      </c>
      <c r="I94" s="42">
        <f t="shared" si="4"/>
        <v>3517.97</v>
      </c>
      <c r="J94" s="42">
        <f>'EE1'!V59+'EE2'!V59</f>
        <v>182.73000000000002</v>
      </c>
      <c r="K94" s="42">
        <f t="shared" si="5"/>
        <v>3335.24</v>
      </c>
      <c r="L94" s="4" t="s">
        <v>58</v>
      </c>
      <c r="M94" s="4" t="s">
        <v>119</v>
      </c>
      <c r="P94" s="200"/>
    </row>
    <row r="95" spans="1:16" ht="13.5" customHeight="1" x14ac:dyDescent="0.25">
      <c r="A95" s="33">
        <v>86</v>
      </c>
      <c r="B95" s="28" t="s">
        <v>225</v>
      </c>
      <c r="C95" s="10" t="s">
        <v>125</v>
      </c>
      <c r="D95" s="4" t="s">
        <v>124</v>
      </c>
      <c r="E95" s="11">
        <f>'EE1'!O60+'EE2'!O60</f>
        <v>21935.300000000003</v>
      </c>
      <c r="F95" s="11">
        <f>'EE1'!P60+'EE2'!P60</f>
        <v>3621.8100000000004</v>
      </c>
      <c r="G95" s="11">
        <f>'EE1'!R60+'EE2'!R60</f>
        <v>0</v>
      </c>
      <c r="H95" s="42">
        <f t="shared" si="3"/>
        <v>3621.8100000000004</v>
      </c>
      <c r="I95" s="42">
        <f t="shared" si="4"/>
        <v>18313.490000000002</v>
      </c>
      <c r="J95" s="42">
        <f>'EE1'!V60+'EE2'!V60</f>
        <v>3621.8100000000004</v>
      </c>
      <c r="K95" s="42">
        <f t="shared" si="5"/>
        <v>14691.68</v>
      </c>
      <c r="L95" s="4" t="s">
        <v>67</v>
      </c>
      <c r="M95" s="4" t="s">
        <v>119</v>
      </c>
      <c r="P95" s="200"/>
    </row>
    <row r="96" spans="1:16" ht="13.5" customHeight="1" x14ac:dyDescent="0.25">
      <c r="A96" s="33">
        <v>87</v>
      </c>
      <c r="B96" s="28" t="s">
        <v>226</v>
      </c>
      <c r="C96" s="10" t="s">
        <v>126</v>
      </c>
      <c r="D96" s="4" t="s">
        <v>17</v>
      </c>
      <c r="E96" s="11">
        <f>'EE1'!O61+'EE2'!O61</f>
        <v>11586.95</v>
      </c>
      <c r="F96" s="11">
        <f>'EE1'!P61+'EE2'!P61</f>
        <v>1390</v>
      </c>
      <c r="G96" s="11">
        <f>'EE1'!R61+'EE2'!R61</f>
        <v>72.2</v>
      </c>
      <c r="H96" s="42">
        <f t="shared" si="3"/>
        <v>1462.2</v>
      </c>
      <c r="I96" s="42">
        <f t="shared" si="4"/>
        <v>10124.75</v>
      </c>
      <c r="J96" s="42">
        <f>'EE1'!V61+'EE2'!V61</f>
        <v>1462.2</v>
      </c>
      <c r="K96" s="42">
        <f t="shared" si="5"/>
        <v>8662.5499999999993</v>
      </c>
      <c r="L96" s="4" t="s">
        <v>58</v>
      </c>
      <c r="M96" s="4" t="s">
        <v>119</v>
      </c>
      <c r="P96" s="200"/>
    </row>
    <row r="97" spans="1:16" ht="13.5" customHeight="1" x14ac:dyDescent="0.25">
      <c r="A97" s="33">
        <v>88</v>
      </c>
      <c r="B97" s="28" t="s">
        <v>227</v>
      </c>
      <c r="C97" s="11" t="s">
        <v>127</v>
      </c>
      <c r="D97" s="4" t="s">
        <v>17</v>
      </c>
      <c r="E97" s="11">
        <f>'EE1'!O62+'EE2'!O62</f>
        <v>3302.79</v>
      </c>
      <c r="F97" s="11">
        <f>'EE1'!P62+'EE2'!P62</f>
        <v>97.8</v>
      </c>
      <c r="G97" s="11">
        <f>'EE1'!R62+'EE2'!R62</f>
        <v>72.2</v>
      </c>
      <c r="H97" s="42">
        <f t="shared" si="3"/>
        <v>170</v>
      </c>
      <c r="I97" s="42">
        <f t="shared" si="4"/>
        <v>3132.79</v>
      </c>
      <c r="J97" s="42">
        <f>'EE1'!V62+'EE2'!V62</f>
        <v>170</v>
      </c>
      <c r="K97" s="42">
        <f t="shared" si="5"/>
        <v>2962.79</v>
      </c>
      <c r="L97" s="4" t="s">
        <v>58</v>
      </c>
      <c r="M97" s="4" t="s">
        <v>119</v>
      </c>
      <c r="P97" s="200"/>
    </row>
    <row r="98" spans="1:16" ht="13.5" customHeight="1" x14ac:dyDescent="0.25">
      <c r="A98" s="33">
        <v>89</v>
      </c>
      <c r="B98" s="28" t="s">
        <v>228</v>
      </c>
      <c r="C98" s="11" t="s">
        <v>128</v>
      </c>
      <c r="D98" s="4" t="s">
        <v>17</v>
      </c>
      <c r="E98" s="11">
        <f>'EE1'!O63+'EE2'!O63</f>
        <v>4568</v>
      </c>
      <c r="F98" s="11">
        <f>'EE1'!P63+'EE2'!P63</f>
        <v>288.84000000000003</v>
      </c>
      <c r="G98" s="11">
        <f>'EE1'!R63+'EE2'!R63</f>
        <v>90</v>
      </c>
      <c r="H98" s="42">
        <f t="shared" si="3"/>
        <v>378.84000000000003</v>
      </c>
      <c r="I98" s="42">
        <f t="shared" si="4"/>
        <v>4189.16</v>
      </c>
      <c r="J98" s="42">
        <f>'EE1'!V63+'EE2'!V63</f>
        <v>378.84000000000003</v>
      </c>
      <c r="K98" s="42">
        <f t="shared" si="5"/>
        <v>3810.3199999999997</v>
      </c>
      <c r="L98" s="4" t="s">
        <v>58</v>
      </c>
      <c r="M98" s="4" t="s">
        <v>119</v>
      </c>
      <c r="P98" s="200"/>
    </row>
    <row r="99" spans="1:16" ht="13.5" customHeight="1" x14ac:dyDescent="0.25">
      <c r="A99" s="33">
        <v>90</v>
      </c>
      <c r="B99" s="28" t="s">
        <v>229</v>
      </c>
      <c r="C99" s="11" t="s">
        <v>129</v>
      </c>
      <c r="D99" s="4" t="s">
        <v>25</v>
      </c>
      <c r="E99" s="11">
        <f>'EE1'!O64+'EE2'!O64</f>
        <v>3700.7</v>
      </c>
      <c r="F99" s="11">
        <f>'EE1'!P64+'EE2'!P64</f>
        <v>214.81</v>
      </c>
      <c r="G99" s="11">
        <f>'EE1'!R64+'EE2'!R64</f>
        <v>0</v>
      </c>
      <c r="H99" s="42">
        <f t="shared" si="3"/>
        <v>214.81</v>
      </c>
      <c r="I99" s="42">
        <f t="shared" si="4"/>
        <v>3485.89</v>
      </c>
      <c r="J99" s="42">
        <f>'EE1'!V64+'EE2'!V64</f>
        <v>214.81</v>
      </c>
      <c r="K99" s="42">
        <f t="shared" si="5"/>
        <v>3271.08</v>
      </c>
      <c r="L99" s="4" t="s">
        <v>58</v>
      </c>
      <c r="M99" s="4" t="s">
        <v>119</v>
      </c>
      <c r="P99" s="200"/>
    </row>
    <row r="100" spans="1:16" ht="13.5" customHeight="1" x14ac:dyDescent="0.25">
      <c r="A100" s="33">
        <v>91</v>
      </c>
      <c r="B100" s="28" t="s">
        <v>230</v>
      </c>
      <c r="C100" s="11" t="s">
        <v>130</v>
      </c>
      <c r="D100" s="4" t="s">
        <v>25</v>
      </c>
      <c r="E100" s="11">
        <f>'EE1'!O65+'EE2'!O65</f>
        <v>4300.82</v>
      </c>
      <c r="F100" s="11">
        <f>'EE1'!P65+'EE2'!P65</f>
        <v>267.64999999999998</v>
      </c>
      <c r="G100" s="11">
        <f>'EE1'!R65+'EE2'!R65</f>
        <v>90</v>
      </c>
      <c r="H100" s="42">
        <f t="shared" si="3"/>
        <v>357.65</v>
      </c>
      <c r="I100" s="42">
        <f t="shared" si="4"/>
        <v>3943.1699999999996</v>
      </c>
      <c r="J100" s="42">
        <f>'EE1'!V65+'EE2'!V65</f>
        <v>357.65</v>
      </c>
      <c r="K100" s="42">
        <f t="shared" si="5"/>
        <v>3585.5199999999995</v>
      </c>
      <c r="L100" s="4" t="s">
        <v>58</v>
      </c>
      <c r="M100" s="4" t="s">
        <v>119</v>
      </c>
      <c r="P100" s="200"/>
    </row>
    <row r="101" spans="1:16" ht="13.5" customHeight="1" x14ac:dyDescent="0.25">
      <c r="A101" s="33">
        <v>92</v>
      </c>
      <c r="B101" s="28" t="s">
        <v>231</v>
      </c>
      <c r="C101" s="12" t="s">
        <v>131</v>
      </c>
      <c r="D101" s="9" t="s">
        <v>12</v>
      </c>
      <c r="E101" s="11">
        <f>'EE1'!O66+'EE2'!O66</f>
        <v>7116.46</v>
      </c>
      <c r="F101" s="11">
        <f>'EE1'!P66+'EE2'!P66</f>
        <v>545.25</v>
      </c>
      <c r="G101" s="11">
        <f>'EE1'!R66+'EE2'!R66</f>
        <v>0</v>
      </c>
      <c r="H101" s="42">
        <f t="shared" si="3"/>
        <v>545.25</v>
      </c>
      <c r="I101" s="42">
        <f t="shared" si="4"/>
        <v>6571.21</v>
      </c>
      <c r="J101" s="42">
        <f>'EE1'!V66+'EE2'!V66</f>
        <v>945.25</v>
      </c>
      <c r="K101" s="42">
        <f t="shared" si="5"/>
        <v>5625.96</v>
      </c>
      <c r="L101" s="9" t="s">
        <v>58</v>
      </c>
      <c r="M101" s="9" t="s">
        <v>119</v>
      </c>
      <c r="P101" s="200"/>
    </row>
    <row r="102" spans="1:16" x14ac:dyDescent="0.25">
      <c r="A102" s="33">
        <v>93</v>
      </c>
      <c r="B102" s="28" t="s">
        <v>237</v>
      </c>
      <c r="C102" s="4" t="s">
        <v>235</v>
      </c>
      <c r="D102" s="4" t="s">
        <v>25</v>
      </c>
      <c r="E102" s="11">
        <f>'EE1'!O67+'EE2'!O67</f>
        <v>3700.74</v>
      </c>
      <c r="F102" s="11">
        <f>'EE1'!P67+'EE2'!P67</f>
        <v>214.82</v>
      </c>
      <c r="G102" s="11">
        <f>'EE1'!R67+'EE2'!R67</f>
        <v>0</v>
      </c>
      <c r="H102" s="42">
        <f t="shared" si="3"/>
        <v>214.82</v>
      </c>
      <c r="I102" s="42">
        <f t="shared" si="4"/>
        <v>3485.9199999999996</v>
      </c>
      <c r="J102" s="42">
        <f>'EE1'!V67+'EE2'!V67</f>
        <v>214.82</v>
      </c>
      <c r="K102" s="42">
        <f t="shared" si="5"/>
        <v>3271.0999999999995</v>
      </c>
      <c r="L102" s="4" t="s">
        <v>58</v>
      </c>
      <c r="M102" s="4" t="s">
        <v>119</v>
      </c>
      <c r="P102" s="200"/>
    </row>
  </sheetData>
  <mergeCells count="3">
    <mergeCell ref="B2:M2"/>
    <mergeCell ref="B3:M3"/>
    <mergeCell ref="B4:M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46"/>
  <sheetViews>
    <sheetView topLeftCell="G1" workbookViewId="0">
      <selection activeCell="G6" sqref="G6"/>
    </sheetView>
  </sheetViews>
  <sheetFormatPr baseColWidth="10" defaultRowHeight="15" x14ac:dyDescent="0.25"/>
  <cols>
    <col min="1" max="1" width="12" style="106" hidden="1" customWidth="1"/>
    <col min="2" max="2" width="11" style="2" hidden="1" customWidth="1"/>
    <col min="3" max="3" width="28.42578125" style="2" hidden="1" customWidth="1"/>
    <col min="4" max="4" width="13" style="2" hidden="1" customWidth="1"/>
    <col min="5" max="5" width="4.85546875" style="46" bestFit="1" customWidth="1"/>
    <col min="6" max="6" width="22.42578125" style="46" bestFit="1" customWidth="1"/>
    <col min="7" max="7" width="9.28515625" style="46" bestFit="1" customWidth="1"/>
    <col min="8" max="9" width="9.28515625" style="46" customWidth="1"/>
    <col min="10" max="10" width="14.7109375" style="46" customWidth="1"/>
    <col min="11" max="11" width="9.28515625" style="46" customWidth="1"/>
    <col min="12" max="12" width="9.7109375" style="46" bestFit="1" customWidth="1"/>
    <col min="13" max="16" width="8.7109375" style="46" bestFit="1" customWidth="1"/>
    <col min="17" max="17" width="7.28515625" style="46" bestFit="1" customWidth="1"/>
    <col min="18" max="19" width="9.28515625" style="46" bestFit="1" customWidth="1"/>
    <col min="20" max="20" width="10" style="46" bestFit="1" customWidth="1"/>
    <col min="21" max="21" width="9.5703125" style="191" customWidth="1"/>
    <col min="22" max="22" width="8.42578125" style="46" bestFit="1" customWidth="1"/>
    <col min="23" max="23" width="7.42578125" style="46" bestFit="1" customWidth="1"/>
    <col min="24" max="24" width="8.140625" style="46" bestFit="1" customWidth="1"/>
    <col min="25" max="26" width="8.7109375" style="46" bestFit="1" customWidth="1"/>
    <col min="27" max="28" width="9.42578125" style="46" bestFit="1" customWidth="1"/>
    <col min="29" max="30" width="9.28515625" style="106" hidden="1" customWidth="1"/>
    <col min="31" max="31" width="0.140625" hidden="1" customWidth="1"/>
    <col min="32" max="32" width="9" customWidth="1"/>
  </cols>
  <sheetData>
    <row r="1" spans="1:31" ht="11.25" customHeight="1" x14ac:dyDescent="0.3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4"/>
      <c r="AD1" s="44"/>
    </row>
    <row r="2" spans="1:31" ht="11.25" customHeight="1" x14ac:dyDescent="0.3">
      <c r="A2" s="47"/>
      <c r="B2" s="1"/>
      <c r="C2" s="1"/>
      <c r="D2" s="1"/>
      <c r="E2" s="48"/>
      <c r="F2" s="48"/>
      <c r="G2" s="48"/>
      <c r="H2" s="48"/>
      <c r="I2" s="48"/>
      <c r="J2" s="49" t="s">
        <v>246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8"/>
      <c r="W2" s="48"/>
      <c r="X2" s="48"/>
      <c r="Y2" s="48"/>
      <c r="Z2" s="48"/>
      <c r="AA2" s="48"/>
      <c r="AC2" s="47"/>
      <c r="AD2" s="47"/>
    </row>
    <row r="3" spans="1:31" ht="11.25" customHeight="1" x14ac:dyDescent="0.3">
      <c r="A3" s="50"/>
      <c r="B3" s="1"/>
      <c r="C3" s="1"/>
      <c r="D3" s="1"/>
      <c r="E3" s="51"/>
      <c r="F3" s="51"/>
      <c r="G3" s="51"/>
      <c r="H3" s="51"/>
      <c r="I3" s="51"/>
      <c r="J3" s="52" t="str">
        <f>[4]EVENTUAL!J2</f>
        <v>NOMINA DEL  16 AL 28 DE FEBRERO DEL 2017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189"/>
      <c r="V3" s="51"/>
      <c r="W3" s="51"/>
      <c r="X3" s="51"/>
      <c r="Y3" s="51"/>
      <c r="Z3" s="51"/>
      <c r="AA3" s="51"/>
      <c r="AC3" s="50"/>
      <c r="AD3" s="50"/>
    </row>
    <row r="4" spans="1:31" s="65" customFormat="1" thickBot="1" x14ac:dyDescent="0.35">
      <c r="A4" s="53"/>
      <c r="B4" s="54"/>
      <c r="C4" s="54"/>
      <c r="D4" s="54"/>
      <c r="E4" s="55"/>
      <c r="F4" s="56"/>
      <c r="G4" s="57">
        <v>11301</v>
      </c>
      <c r="H4" s="58">
        <v>13301</v>
      </c>
      <c r="I4" s="58">
        <v>13301</v>
      </c>
      <c r="J4" s="57">
        <v>11301</v>
      </c>
      <c r="K4" s="57">
        <v>15404</v>
      </c>
      <c r="L4" s="57">
        <v>15901</v>
      </c>
      <c r="M4" s="57">
        <v>17103</v>
      </c>
      <c r="N4" s="57">
        <v>17103</v>
      </c>
      <c r="O4" s="57">
        <v>15406</v>
      </c>
      <c r="P4" s="57">
        <v>15903</v>
      </c>
      <c r="Q4" s="59">
        <v>1197</v>
      </c>
      <c r="R4" s="57">
        <v>13204</v>
      </c>
      <c r="S4" s="57">
        <v>13204</v>
      </c>
      <c r="T4" s="57"/>
      <c r="U4" s="190">
        <v>2111.1</v>
      </c>
      <c r="V4" s="57">
        <v>52010102</v>
      </c>
      <c r="W4" s="57">
        <v>52010501</v>
      </c>
      <c r="X4" s="60">
        <v>52010304</v>
      </c>
      <c r="Y4" s="57">
        <v>52010104</v>
      </c>
      <c r="Z4" s="61">
        <v>52010305</v>
      </c>
      <c r="AA4" s="62"/>
      <c r="AB4" s="63"/>
      <c r="AC4" s="64" t="s">
        <v>247</v>
      </c>
      <c r="AD4" s="64" t="s">
        <v>247</v>
      </c>
    </row>
    <row r="5" spans="1:31" ht="37.9" customHeight="1" thickBot="1" x14ac:dyDescent="0.35">
      <c r="A5" s="66" t="s">
        <v>248</v>
      </c>
      <c r="B5" s="67" t="s">
        <v>249</v>
      </c>
      <c r="C5" s="67" t="s">
        <v>250</v>
      </c>
      <c r="D5" s="67" t="s">
        <v>251</v>
      </c>
      <c r="E5" s="68" t="s">
        <v>252</v>
      </c>
      <c r="F5" s="69" t="s">
        <v>253</v>
      </c>
      <c r="G5" s="69" t="s">
        <v>254</v>
      </c>
      <c r="H5" s="70" t="s">
        <v>255</v>
      </c>
      <c r="I5" s="70" t="s">
        <v>255</v>
      </c>
      <c r="J5" s="69" t="s">
        <v>256</v>
      </c>
      <c r="K5" s="70" t="s">
        <v>257</v>
      </c>
      <c r="L5" s="69" t="s">
        <v>258</v>
      </c>
      <c r="M5" s="69" t="s">
        <v>259</v>
      </c>
      <c r="N5" s="69" t="s">
        <v>260</v>
      </c>
      <c r="O5" s="69" t="s">
        <v>261</v>
      </c>
      <c r="P5" s="69" t="s">
        <v>262</v>
      </c>
      <c r="Q5" s="69" t="s">
        <v>263</v>
      </c>
      <c r="R5" s="69" t="s">
        <v>264</v>
      </c>
      <c r="S5" s="69" t="s">
        <v>265</v>
      </c>
      <c r="T5" s="69" t="s">
        <v>266</v>
      </c>
      <c r="U5" s="71" t="s">
        <v>1</v>
      </c>
      <c r="V5" s="69" t="s">
        <v>267</v>
      </c>
      <c r="W5" s="69" t="s">
        <v>268</v>
      </c>
      <c r="X5" s="69" t="s">
        <v>269</v>
      </c>
      <c r="Y5" s="69" t="s">
        <v>270</v>
      </c>
      <c r="Z5" s="69" t="s">
        <v>271</v>
      </c>
      <c r="AA5" s="69" t="s">
        <v>272</v>
      </c>
      <c r="AB5" s="71" t="s">
        <v>273</v>
      </c>
      <c r="AC5" s="66" t="s">
        <v>258</v>
      </c>
      <c r="AD5" s="66" t="s">
        <v>258</v>
      </c>
    </row>
    <row r="6" spans="1:31" ht="12.6" customHeight="1" x14ac:dyDescent="0.3">
      <c r="A6" s="72" t="s">
        <v>2</v>
      </c>
      <c r="B6" s="73" t="s">
        <v>3</v>
      </c>
      <c r="C6" s="73" t="s">
        <v>4</v>
      </c>
      <c r="D6" s="73"/>
      <c r="E6" s="74">
        <v>28</v>
      </c>
      <c r="F6" s="75" t="s">
        <v>5</v>
      </c>
      <c r="G6" s="76">
        <v>3575.07</v>
      </c>
      <c r="H6" s="76"/>
      <c r="I6" s="76"/>
      <c r="J6" s="76">
        <v>160.38</v>
      </c>
      <c r="K6" s="76"/>
      <c r="L6" s="76">
        <f>AC6+AD6</f>
        <v>326.42</v>
      </c>
      <c r="M6" s="76">
        <v>325.51</v>
      </c>
      <c r="N6" s="76">
        <v>310.01</v>
      </c>
      <c r="O6" s="76"/>
      <c r="P6" s="76">
        <v>194.4</v>
      </c>
      <c r="Q6" s="77"/>
      <c r="R6" s="77"/>
      <c r="S6" s="77"/>
      <c r="T6" s="78">
        <f t="shared" ref="T6:T15" si="0">SUM(G6:S6)</f>
        <v>4891.79</v>
      </c>
      <c r="U6" s="79">
        <v>504.11</v>
      </c>
      <c r="V6" s="78">
        <v>72.36</v>
      </c>
      <c r="W6" s="78">
        <v>18.55</v>
      </c>
      <c r="X6" s="78"/>
      <c r="Y6" s="78"/>
      <c r="Z6" s="78"/>
      <c r="AA6" s="78">
        <f t="shared" ref="AA6:AA15" si="1">SUM(U6:Z6)</f>
        <v>595.02</v>
      </c>
      <c r="AB6" s="78">
        <f>T6-AA6</f>
        <v>4296.7700000000004</v>
      </c>
      <c r="AC6" s="80">
        <v>326.42</v>
      </c>
      <c r="AD6" s="80"/>
    </row>
    <row r="7" spans="1:31" ht="12.6" customHeight="1" x14ac:dyDescent="0.3">
      <c r="A7" s="81" t="s">
        <v>6</v>
      </c>
      <c r="B7" s="73" t="s">
        <v>3</v>
      </c>
      <c r="C7" s="73" t="s">
        <v>7</v>
      </c>
      <c r="D7" s="73"/>
      <c r="E7" s="82">
        <v>31</v>
      </c>
      <c r="F7" s="83" t="s">
        <v>8</v>
      </c>
      <c r="G7" s="76">
        <v>4090.7400000000002</v>
      </c>
      <c r="H7" s="76"/>
      <c r="I7" s="76"/>
      <c r="J7" s="76" t="s">
        <v>274</v>
      </c>
      <c r="K7" s="76"/>
      <c r="L7" s="76">
        <f t="shared" ref="L7:L28" si="2">AC7+AD7</f>
        <v>2303.31</v>
      </c>
      <c r="M7" s="76" t="s">
        <v>274</v>
      </c>
      <c r="N7" s="76" t="s">
        <v>274</v>
      </c>
      <c r="O7" s="76"/>
      <c r="P7" s="76" t="s">
        <v>274</v>
      </c>
      <c r="Q7" s="84"/>
      <c r="R7" s="84"/>
      <c r="S7" s="84"/>
      <c r="T7" s="78">
        <f t="shared" si="0"/>
        <v>6394.05</v>
      </c>
      <c r="U7" s="85">
        <v>818.58</v>
      </c>
      <c r="V7" s="86">
        <v>111.49</v>
      </c>
      <c r="W7" s="86">
        <v>23.41</v>
      </c>
      <c r="X7" s="86"/>
      <c r="Y7" s="86"/>
      <c r="Z7" s="86"/>
      <c r="AA7" s="78">
        <f t="shared" si="1"/>
        <v>953.48</v>
      </c>
      <c r="AB7" s="78">
        <f t="shared" ref="AB7:AB28" si="3">T7-AA7</f>
        <v>5440.57</v>
      </c>
      <c r="AC7" s="80">
        <v>2303.31</v>
      </c>
      <c r="AD7" s="80"/>
    </row>
    <row r="8" spans="1:31" ht="12.6" customHeight="1" x14ac:dyDescent="0.25">
      <c r="A8" s="87" t="s">
        <v>6</v>
      </c>
      <c r="B8" s="73" t="s">
        <v>3</v>
      </c>
      <c r="C8" s="73" t="s">
        <v>9</v>
      </c>
      <c r="D8" s="73"/>
      <c r="E8" s="88">
        <v>82</v>
      </c>
      <c r="F8" s="89" t="s">
        <v>10</v>
      </c>
      <c r="G8" s="76">
        <v>2351.3200000000002</v>
      </c>
      <c r="H8" s="76"/>
      <c r="I8" s="76">
        <f>H8</f>
        <v>0</v>
      </c>
      <c r="J8" s="76">
        <v>125.97</v>
      </c>
      <c r="K8" s="76"/>
      <c r="L8" s="76">
        <f t="shared" si="2"/>
        <v>567.79</v>
      </c>
      <c r="M8" s="76">
        <v>170.14</v>
      </c>
      <c r="N8" s="76">
        <v>170.14</v>
      </c>
      <c r="O8" s="76"/>
      <c r="P8" s="76">
        <v>108</v>
      </c>
      <c r="Q8" s="76"/>
      <c r="R8" s="76"/>
      <c r="S8" s="76"/>
      <c r="T8" s="78">
        <f t="shared" si="0"/>
        <v>3493.3599999999997</v>
      </c>
      <c r="U8" s="90">
        <v>150.88999999999999</v>
      </c>
      <c r="V8" s="91">
        <v>46.93</v>
      </c>
      <c r="W8" s="91">
        <v>18.899999999999999</v>
      </c>
      <c r="X8" s="91"/>
      <c r="Y8" s="91">
        <v>412.98</v>
      </c>
      <c r="Z8" s="91"/>
      <c r="AA8" s="78">
        <f t="shared" si="1"/>
        <v>629.70000000000005</v>
      </c>
      <c r="AB8" s="78">
        <f t="shared" si="3"/>
        <v>2863.66</v>
      </c>
      <c r="AC8" s="80">
        <v>567.79</v>
      </c>
      <c r="AD8" s="80"/>
    </row>
    <row r="9" spans="1:31" ht="12.6" customHeight="1" x14ac:dyDescent="0.3">
      <c r="A9" s="87" t="s">
        <v>6</v>
      </c>
      <c r="B9" s="73" t="s">
        <v>3</v>
      </c>
      <c r="C9" s="73" t="s">
        <v>9</v>
      </c>
      <c r="D9" s="73"/>
      <c r="E9" s="88">
        <v>110</v>
      </c>
      <c r="F9" s="92" t="s">
        <v>275</v>
      </c>
      <c r="G9" s="76">
        <v>2313.23</v>
      </c>
      <c r="H9" s="76">
        <f>G9/15*1</f>
        <v>154.21533333333335</v>
      </c>
      <c r="I9" s="76">
        <f>H9</f>
        <v>154.21533333333335</v>
      </c>
      <c r="J9" s="76">
        <v>160.38</v>
      </c>
      <c r="K9" s="76"/>
      <c r="L9" s="76">
        <f t="shared" si="2"/>
        <v>608.89</v>
      </c>
      <c r="M9" s="76">
        <v>193.79</v>
      </c>
      <c r="N9" s="76">
        <v>193.79</v>
      </c>
      <c r="O9" s="76"/>
      <c r="P9" s="76">
        <v>194.4</v>
      </c>
      <c r="Q9" s="76"/>
      <c r="R9" s="76"/>
      <c r="S9" s="76"/>
      <c r="T9" s="78">
        <f t="shared" si="0"/>
        <v>3972.9106666666671</v>
      </c>
      <c r="U9" s="90">
        <v>344.75</v>
      </c>
      <c r="V9" s="91">
        <v>48.11</v>
      </c>
      <c r="W9" s="91">
        <v>19.38</v>
      </c>
      <c r="X9" s="91"/>
      <c r="Y9" s="91">
        <v>624.52</v>
      </c>
      <c r="Z9" s="91"/>
      <c r="AA9" s="78">
        <f t="shared" si="1"/>
        <v>1036.76</v>
      </c>
      <c r="AB9" s="78">
        <f t="shared" si="3"/>
        <v>2936.1506666666673</v>
      </c>
      <c r="AC9" s="80">
        <v>608.89</v>
      </c>
      <c r="AD9" s="80"/>
    </row>
    <row r="10" spans="1:31" ht="12.6" customHeight="1" x14ac:dyDescent="0.3">
      <c r="A10" s="87" t="s">
        <v>11</v>
      </c>
      <c r="B10" s="73" t="s">
        <v>3</v>
      </c>
      <c r="C10" s="73" t="s">
        <v>12</v>
      </c>
      <c r="D10" s="73"/>
      <c r="E10" s="88">
        <v>121</v>
      </c>
      <c r="F10" s="92" t="s">
        <v>13</v>
      </c>
      <c r="G10" s="76">
        <v>2791.41</v>
      </c>
      <c r="H10" s="76">
        <f>G10/15*1.5</f>
        <v>279.14099999999996</v>
      </c>
      <c r="I10" s="76">
        <f>H10</f>
        <v>279.14099999999996</v>
      </c>
      <c r="J10" s="76">
        <v>188.44</v>
      </c>
      <c r="K10" s="76"/>
      <c r="L10" s="76">
        <f t="shared" si="2"/>
        <v>300</v>
      </c>
      <c r="M10" s="76">
        <v>237.33</v>
      </c>
      <c r="N10" s="76">
        <v>237.33</v>
      </c>
      <c r="O10" s="76"/>
      <c r="P10" s="76">
        <v>97.2</v>
      </c>
      <c r="Q10" s="76"/>
      <c r="R10" s="76"/>
      <c r="S10" s="76">
        <f>R10*0.28</f>
        <v>0</v>
      </c>
      <c r="T10" s="78">
        <f t="shared" si="0"/>
        <v>4409.9920000000002</v>
      </c>
      <c r="U10" s="90">
        <v>417.78</v>
      </c>
      <c r="V10" s="91">
        <v>50.86</v>
      </c>
      <c r="W10" s="91">
        <v>17.350000000000001</v>
      </c>
      <c r="X10" s="91"/>
      <c r="Y10" s="91"/>
      <c r="Z10" s="91"/>
      <c r="AA10" s="78">
        <f t="shared" si="1"/>
        <v>485.99</v>
      </c>
      <c r="AB10" s="78">
        <f t="shared" si="3"/>
        <v>3924.0020000000004</v>
      </c>
      <c r="AC10" s="80">
        <v>300</v>
      </c>
      <c r="AD10" s="80"/>
    </row>
    <row r="11" spans="1:31" ht="12.6" customHeight="1" x14ac:dyDescent="0.3">
      <c r="A11" s="87" t="s">
        <v>14</v>
      </c>
      <c r="B11" s="73" t="s">
        <v>3</v>
      </c>
      <c r="C11" s="73" t="s">
        <v>15</v>
      </c>
      <c r="D11" s="73"/>
      <c r="E11" s="88">
        <v>11</v>
      </c>
      <c r="F11" s="93" t="s">
        <v>16</v>
      </c>
      <c r="G11" s="76">
        <v>2156.5499999999997</v>
      </c>
      <c r="H11" s="76">
        <f>G11/15*5</f>
        <v>718.84999999999991</v>
      </c>
      <c r="I11" s="76">
        <f>H11</f>
        <v>718.84999999999991</v>
      </c>
      <c r="J11" s="76">
        <f>200</f>
        <v>200</v>
      </c>
      <c r="K11" s="76"/>
      <c r="L11" s="76">
        <f t="shared" si="2"/>
        <v>810.81</v>
      </c>
      <c r="M11" s="76">
        <v>190.88</v>
      </c>
      <c r="N11" s="76">
        <v>190.88</v>
      </c>
      <c r="O11" s="76"/>
      <c r="P11" s="76">
        <v>237.61</v>
      </c>
      <c r="Q11" s="76"/>
      <c r="R11" s="76"/>
      <c r="S11" s="76"/>
      <c r="T11" s="78">
        <f t="shared" si="0"/>
        <v>5224.4299999999994</v>
      </c>
      <c r="U11" s="90">
        <v>314.97000000000003</v>
      </c>
      <c r="V11" s="91">
        <v>44.28</v>
      </c>
      <c r="W11" s="91">
        <v>19.088200000000001</v>
      </c>
      <c r="X11" s="91">
        <v>500</v>
      </c>
      <c r="Y11" s="91"/>
      <c r="Z11" s="91"/>
      <c r="AA11" s="78">
        <f t="shared" si="1"/>
        <v>878.33820000000003</v>
      </c>
      <c r="AB11" s="78">
        <f t="shared" si="3"/>
        <v>4346.0917999999992</v>
      </c>
      <c r="AC11" s="80">
        <f>810.81</f>
        <v>810.81</v>
      </c>
      <c r="AD11" s="80"/>
    </row>
    <row r="12" spans="1:31" ht="12.6" customHeight="1" x14ac:dyDescent="0.3">
      <c r="A12" s="87" t="s">
        <v>14</v>
      </c>
      <c r="B12" s="73" t="s">
        <v>3</v>
      </c>
      <c r="C12" s="73" t="s">
        <v>17</v>
      </c>
      <c r="D12" s="73"/>
      <c r="E12" s="88">
        <v>21</v>
      </c>
      <c r="F12" s="93" t="s">
        <v>18</v>
      </c>
      <c r="G12" s="76">
        <v>2680.19</v>
      </c>
      <c r="H12" s="76"/>
      <c r="I12" s="76"/>
      <c r="J12" s="76">
        <v>90.53</v>
      </c>
      <c r="K12" s="76"/>
      <c r="L12" s="76">
        <f t="shared" si="2"/>
        <v>1716</v>
      </c>
      <c r="M12" s="76">
        <v>133.56</v>
      </c>
      <c r="N12" s="76">
        <v>133.56</v>
      </c>
      <c r="O12" s="76"/>
      <c r="P12" s="76">
        <v>106.92</v>
      </c>
      <c r="Q12" s="76"/>
      <c r="R12" s="76"/>
      <c r="S12" s="76"/>
      <c r="T12" s="78">
        <f t="shared" si="0"/>
        <v>4860.7600000000011</v>
      </c>
      <c r="U12" s="90">
        <v>498.55</v>
      </c>
      <c r="V12" s="91">
        <v>60.17</v>
      </c>
      <c r="W12" s="91">
        <v>22.26</v>
      </c>
      <c r="X12" s="91"/>
      <c r="Y12" s="91">
        <v>664.51</v>
      </c>
      <c r="Z12" s="91"/>
      <c r="AA12" s="78">
        <f t="shared" si="1"/>
        <v>1245.49</v>
      </c>
      <c r="AB12" s="78">
        <f t="shared" si="3"/>
        <v>3615.2700000000013</v>
      </c>
      <c r="AC12" s="80">
        <v>666</v>
      </c>
      <c r="AD12" s="80">
        <f>150*7</f>
        <v>1050</v>
      </c>
    </row>
    <row r="13" spans="1:31" ht="12.6" customHeight="1" x14ac:dyDescent="0.3">
      <c r="A13" s="87" t="s">
        <v>14</v>
      </c>
      <c r="B13" s="73" t="s">
        <v>3</v>
      </c>
      <c r="C13" s="73" t="s">
        <v>15</v>
      </c>
      <c r="D13" s="73"/>
      <c r="E13" s="88">
        <v>51</v>
      </c>
      <c r="F13" s="94" t="s">
        <v>19</v>
      </c>
      <c r="G13" s="76">
        <f>1956.04</f>
        <v>1956.04</v>
      </c>
      <c r="H13" s="76"/>
      <c r="I13" s="76">
        <f>H13</f>
        <v>0</v>
      </c>
      <c r="J13" s="76">
        <v>191.29</v>
      </c>
      <c r="K13" s="76"/>
      <c r="L13" s="76">
        <f t="shared" si="2"/>
        <v>2280</v>
      </c>
      <c r="M13" s="76">
        <v>86.36</v>
      </c>
      <c r="N13" s="76">
        <v>86.36</v>
      </c>
      <c r="O13" s="76"/>
      <c r="P13" s="76">
        <v>106.92</v>
      </c>
      <c r="Q13" s="76"/>
      <c r="R13" s="76"/>
      <c r="S13" s="76"/>
      <c r="T13" s="78">
        <f t="shared" si="0"/>
        <v>4706.9699999999993</v>
      </c>
      <c r="U13" s="90">
        <v>470.99</v>
      </c>
      <c r="V13" s="91">
        <v>35.729999999999997</v>
      </c>
      <c r="W13" s="91">
        <v>10.06</v>
      </c>
      <c r="X13" s="91">
        <v>0</v>
      </c>
      <c r="Y13" s="91"/>
      <c r="Z13" s="91">
        <v>649.38</v>
      </c>
      <c r="AA13" s="78">
        <f t="shared" si="1"/>
        <v>1166.1599999999999</v>
      </c>
      <c r="AB13" s="78">
        <f t="shared" si="3"/>
        <v>3540.8099999999995</v>
      </c>
      <c r="AC13" s="80">
        <v>1530</v>
      </c>
      <c r="AD13" s="80">
        <f>150*5</f>
        <v>750</v>
      </c>
    </row>
    <row r="14" spans="1:31" ht="12.6" customHeight="1" x14ac:dyDescent="0.3">
      <c r="A14" s="95" t="s">
        <v>14</v>
      </c>
      <c r="B14" s="73" t="s">
        <v>20</v>
      </c>
      <c r="C14" s="73" t="s">
        <v>17</v>
      </c>
      <c r="D14" s="73"/>
      <c r="E14" s="96">
        <v>112</v>
      </c>
      <c r="F14" s="93" t="s">
        <v>21</v>
      </c>
      <c r="G14" s="97">
        <v>1793.37</v>
      </c>
      <c r="H14" s="76">
        <f>G14/15*3</f>
        <v>358.67399999999998</v>
      </c>
      <c r="I14" s="76">
        <f>H14</f>
        <v>358.67399999999998</v>
      </c>
      <c r="J14" s="97" t="s">
        <v>276</v>
      </c>
      <c r="K14" s="76"/>
      <c r="L14" s="76">
        <f t="shared" si="2"/>
        <v>624</v>
      </c>
      <c r="M14" s="97">
        <v>172.44</v>
      </c>
      <c r="N14" s="97">
        <v>172.44</v>
      </c>
      <c r="P14" s="97">
        <v>106.92</v>
      </c>
      <c r="Q14" s="97"/>
      <c r="R14" s="97"/>
      <c r="S14" s="97"/>
      <c r="T14" s="78">
        <f t="shared" si="0"/>
        <v>3586.518</v>
      </c>
      <c r="U14" s="98">
        <v>135.01</v>
      </c>
      <c r="V14" s="99">
        <v>42.82</v>
      </c>
      <c r="W14" s="99"/>
      <c r="X14" s="99"/>
      <c r="Y14" s="99"/>
      <c r="Z14" s="99">
        <v>759.4</v>
      </c>
      <c r="AA14" s="78">
        <f t="shared" si="1"/>
        <v>937.23</v>
      </c>
      <c r="AB14" s="78">
        <f t="shared" si="3"/>
        <v>2649.288</v>
      </c>
      <c r="AC14" s="100">
        <v>174</v>
      </c>
      <c r="AD14" s="80">
        <f>150*3</f>
        <v>450</v>
      </c>
      <c r="AE14" s="101"/>
    </row>
    <row r="15" spans="1:31" ht="12.6" customHeight="1" x14ac:dyDescent="0.3">
      <c r="A15" s="95" t="s">
        <v>14</v>
      </c>
      <c r="B15" s="73" t="s">
        <v>3</v>
      </c>
      <c r="C15" s="73" t="s">
        <v>17</v>
      </c>
      <c r="D15" s="73"/>
      <c r="E15" s="96">
        <v>118</v>
      </c>
      <c r="F15" s="93" t="s">
        <v>22</v>
      </c>
      <c r="G15" s="97">
        <v>1468.53</v>
      </c>
      <c r="H15" s="97"/>
      <c r="I15" s="76"/>
      <c r="J15" s="97">
        <v>90.53</v>
      </c>
      <c r="K15" s="76"/>
      <c r="L15" s="76">
        <f t="shared" si="2"/>
        <v>700</v>
      </c>
      <c r="M15" s="97">
        <v>121.34</v>
      </c>
      <c r="N15" s="97">
        <v>121.34</v>
      </c>
      <c r="O15" s="97"/>
      <c r="P15" s="97">
        <v>100.6</v>
      </c>
      <c r="Q15" s="97"/>
      <c r="R15" s="97"/>
      <c r="S15" s="97"/>
      <c r="T15" s="78">
        <f t="shared" si="0"/>
        <v>2602.34</v>
      </c>
      <c r="U15" s="98">
        <v>18.7</v>
      </c>
      <c r="V15" s="99">
        <v>30.13</v>
      </c>
      <c r="W15" s="99">
        <v>12.13</v>
      </c>
      <c r="X15" s="102"/>
      <c r="Y15" s="102"/>
      <c r="Z15" s="99"/>
      <c r="AA15" s="78">
        <f t="shared" si="1"/>
        <v>60.96</v>
      </c>
      <c r="AB15" s="78">
        <f t="shared" si="3"/>
        <v>2541.38</v>
      </c>
      <c r="AC15" s="103">
        <v>700</v>
      </c>
      <c r="AD15" s="80"/>
    </row>
    <row r="16" spans="1:31" ht="12.6" customHeight="1" x14ac:dyDescent="0.3">
      <c r="A16" s="87" t="s">
        <v>24</v>
      </c>
      <c r="B16" s="73" t="s">
        <v>20</v>
      </c>
      <c r="C16" s="73" t="s">
        <v>25</v>
      </c>
      <c r="D16" s="73"/>
      <c r="E16" s="88">
        <v>5</v>
      </c>
      <c r="F16" s="92" t="s">
        <v>26</v>
      </c>
      <c r="G16" s="76">
        <v>957.21</v>
      </c>
      <c r="H16" s="76"/>
      <c r="I16" s="76"/>
      <c r="J16" s="76">
        <v>82.3</v>
      </c>
      <c r="K16" s="76"/>
      <c r="L16" s="76">
        <f t="shared" si="2"/>
        <v>224.36</v>
      </c>
      <c r="M16" s="76">
        <v>55.22</v>
      </c>
      <c r="N16" s="76">
        <v>55.22</v>
      </c>
      <c r="O16" s="76">
        <f>G16/15</f>
        <v>63.814</v>
      </c>
      <c r="P16" s="76">
        <v>97.2</v>
      </c>
      <c r="Q16" s="76">
        <v>106.32</v>
      </c>
      <c r="R16" s="76"/>
      <c r="S16" s="76"/>
      <c r="T16" s="78">
        <f t="shared" ref="T16:T28" si="4">SUM(G16:S16)</f>
        <v>1641.644</v>
      </c>
      <c r="U16" s="108"/>
      <c r="V16" s="91">
        <v>22.84</v>
      </c>
      <c r="W16" s="91"/>
      <c r="X16" s="91"/>
      <c r="Y16" s="91"/>
      <c r="Z16" s="91"/>
      <c r="AA16" s="78">
        <f t="shared" ref="AA16:AA28" si="5">SUM(U16:Z16)</f>
        <v>22.84</v>
      </c>
      <c r="AB16" s="78">
        <f t="shared" si="3"/>
        <v>1618.8040000000001</v>
      </c>
      <c r="AC16" s="80">
        <v>224.36</v>
      </c>
      <c r="AD16" s="80"/>
    </row>
    <row r="17" spans="1:30" ht="12.6" customHeight="1" x14ac:dyDescent="0.3">
      <c r="A17" s="87" t="s">
        <v>24</v>
      </c>
      <c r="B17" s="73" t="s">
        <v>20</v>
      </c>
      <c r="C17" s="73" t="s">
        <v>25</v>
      </c>
      <c r="D17" s="73"/>
      <c r="E17" s="88">
        <v>6</v>
      </c>
      <c r="F17" s="92" t="s">
        <v>27</v>
      </c>
      <c r="G17" s="76">
        <v>2121.44</v>
      </c>
      <c r="H17" s="76"/>
      <c r="I17" s="76">
        <f t="shared" ref="I17:I28" si="6">H17</f>
        <v>0</v>
      </c>
      <c r="J17" s="76">
        <v>188.44</v>
      </c>
      <c r="K17" s="76"/>
      <c r="L17" s="76">
        <f t="shared" si="2"/>
        <v>207.28</v>
      </c>
      <c r="M17" s="76">
        <v>122.39</v>
      </c>
      <c r="N17" s="76">
        <v>122.39</v>
      </c>
      <c r="O17" s="76"/>
      <c r="P17" s="76">
        <v>97.2</v>
      </c>
      <c r="Q17" s="76"/>
      <c r="R17" s="76"/>
      <c r="S17" s="76"/>
      <c r="T17" s="78">
        <f t="shared" si="4"/>
        <v>2859.14</v>
      </c>
      <c r="U17" s="90">
        <v>61.64</v>
      </c>
      <c r="V17" s="91">
        <v>51.68</v>
      </c>
      <c r="W17" s="91"/>
      <c r="X17" s="91"/>
      <c r="Y17" s="91"/>
      <c r="Z17" s="91">
        <v>586.33000000000004</v>
      </c>
      <c r="AA17" s="78">
        <f t="shared" si="5"/>
        <v>699.65000000000009</v>
      </c>
      <c r="AB17" s="78">
        <f t="shared" si="3"/>
        <v>2159.4899999999998</v>
      </c>
      <c r="AC17" s="80">
        <v>207.28</v>
      </c>
      <c r="AD17" s="80"/>
    </row>
    <row r="18" spans="1:30" ht="12.6" customHeight="1" x14ac:dyDescent="0.25">
      <c r="A18" s="87" t="s">
        <v>24</v>
      </c>
      <c r="B18" s="73" t="s">
        <v>3</v>
      </c>
      <c r="C18" s="73" t="s">
        <v>28</v>
      </c>
      <c r="D18" s="73"/>
      <c r="E18" s="88">
        <v>24</v>
      </c>
      <c r="F18" s="93" t="s">
        <v>29</v>
      </c>
      <c r="G18" s="76">
        <v>4006.16</v>
      </c>
      <c r="H18" s="76">
        <f>G18/15*1.5</f>
        <v>400.61599999999999</v>
      </c>
      <c r="I18" s="76">
        <f t="shared" si="6"/>
        <v>400.61599999999999</v>
      </c>
      <c r="J18" s="76" t="s">
        <v>274</v>
      </c>
      <c r="K18" s="76"/>
      <c r="L18" s="76">
        <f t="shared" si="2"/>
        <v>1095</v>
      </c>
      <c r="M18" s="76" t="s">
        <v>274</v>
      </c>
      <c r="N18" s="76" t="s">
        <v>274</v>
      </c>
      <c r="O18" s="76"/>
      <c r="P18" s="76" t="s">
        <v>274</v>
      </c>
      <c r="Q18" s="76"/>
      <c r="R18" s="104"/>
      <c r="S18" s="105"/>
      <c r="T18" s="78">
        <f t="shared" si="4"/>
        <v>5902.3919999999998</v>
      </c>
      <c r="U18" s="90">
        <v>542.41999999999996</v>
      </c>
      <c r="V18" s="91">
        <v>111.49</v>
      </c>
      <c r="W18" s="91">
        <v>40.369999999999997</v>
      </c>
      <c r="X18" s="91"/>
      <c r="Y18" s="91"/>
      <c r="Z18" s="91"/>
      <c r="AA18" s="78">
        <f t="shared" si="5"/>
        <v>694.28</v>
      </c>
      <c r="AB18" s="78">
        <f t="shared" si="3"/>
        <v>5208.1120000000001</v>
      </c>
      <c r="AC18" s="80">
        <v>1095</v>
      </c>
      <c r="AD18" s="80"/>
    </row>
    <row r="19" spans="1:30" ht="12.6" customHeight="1" x14ac:dyDescent="0.3">
      <c r="A19" s="87" t="s">
        <v>24</v>
      </c>
      <c r="B19" s="73" t="s">
        <v>3</v>
      </c>
      <c r="C19" s="73" t="s">
        <v>30</v>
      </c>
      <c r="D19" s="73"/>
      <c r="E19" s="88">
        <v>25</v>
      </c>
      <c r="F19" s="93" t="s">
        <v>31</v>
      </c>
      <c r="G19" s="76">
        <v>2712.3399999999997</v>
      </c>
      <c r="H19" s="76"/>
      <c r="I19" s="76">
        <f t="shared" si="6"/>
        <v>0</v>
      </c>
      <c r="J19" s="76">
        <v>182.34</v>
      </c>
      <c r="K19" s="76"/>
      <c r="L19" s="76">
        <f t="shared" si="2"/>
        <v>150</v>
      </c>
      <c r="M19" s="76">
        <v>139.51</v>
      </c>
      <c r="N19" s="76">
        <v>139.51</v>
      </c>
      <c r="O19" s="76">
        <f t="shared" ref="O19:O28" si="7">G19/15</f>
        <v>180.82266666666663</v>
      </c>
      <c r="P19" s="76">
        <v>106.92</v>
      </c>
      <c r="Q19" s="76"/>
      <c r="R19" s="76"/>
      <c r="S19" s="76"/>
      <c r="T19" s="78">
        <f t="shared" si="4"/>
        <v>3611.4426666666664</v>
      </c>
      <c r="U19" s="90">
        <v>181.44</v>
      </c>
      <c r="V19" s="91">
        <v>64.709999999999994</v>
      </c>
      <c r="W19" s="91">
        <v>23.25</v>
      </c>
      <c r="X19" s="91"/>
      <c r="Y19" s="91"/>
      <c r="Z19" s="91"/>
      <c r="AA19" s="78">
        <f t="shared" si="5"/>
        <v>269.39999999999998</v>
      </c>
      <c r="AB19" s="78">
        <f t="shared" si="3"/>
        <v>3342.0426666666663</v>
      </c>
      <c r="AC19" s="80">
        <f>150</f>
        <v>150</v>
      </c>
      <c r="AD19" s="80"/>
    </row>
    <row r="20" spans="1:30" ht="12.6" customHeight="1" x14ac:dyDescent="0.3">
      <c r="A20" s="87" t="s">
        <v>24</v>
      </c>
      <c r="B20" s="73" t="s">
        <v>3</v>
      </c>
      <c r="C20" s="73" t="s">
        <v>30</v>
      </c>
      <c r="D20" s="73"/>
      <c r="E20" s="88">
        <v>27</v>
      </c>
      <c r="F20" s="92" t="s">
        <v>32</v>
      </c>
      <c r="G20" s="76">
        <v>1734.79</v>
      </c>
      <c r="H20" s="76"/>
      <c r="I20" s="76">
        <f t="shared" si="6"/>
        <v>0</v>
      </c>
      <c r="J20" s="76">
        <v>99.51</v>
      </c>
      <c r="K20" s="76"/>
      <c r="L20" s="76">
        <f t="shared" si="2"/>
        <v>930.61</v>
      </c>
      <c r="M20" s="76">
        <v>85.38</v>
      </c>
      <c r="N20" s="76">
        <v>85.38</v>
      </c>
      <c r="O20" s="76">
        <f t="shared" si="7"/>
        <v>115.65266666666666</v>
      </c>
      <c r="P20" s="76">
        <v>106.92</v>
      </c>
      <c r="Q20" s="76"/>
      <c r="R20" s="76"/>
      <c r="S20" s="76">
        <f>Q20*0.28</f>
        <v>0</v>
      </c>
      <c r="T20" s="78">
        <f t="shared" si="4"/>
        <v>3158.242666666667</v>
      </c>
      <c r="U20" s="90">
        <v>114.43</v>
      </c>
      <c r="V20" s="91">
        <v>35.33</v>
      </c>
      <c r="W20" s="91">
        <v>14.23</v>
      </c>
      <c r="X20" s="91"/>
      <c r="Y20" s="91"/>
      <c r="Z20" s="91">
        <v>337.86</v>
      </c>
      <c r="AA20" s="78">
        <f t="shared" si="5"/>
        <v>501.85</v>
      </c>
      <c r="AB20" s="78">
        <f t="shared" si="3"/>
        <v>2656.3926666666671</v>
      </c>
      <c r="AC20" s="80">
        <v>930.61</v>
      </c>
      <c r="AD20" s="80"/>
    </row>
    <row r="21" spans="1:30" ht="12.6" customHeight="1" x14ac:dyDescent="0.3">
      <c r="A21" s="87" t="s">
        <v>24</v>
      </c>
      <c r="B21" s="73" t="s">
        <v>20</v>
      </c>
      <c r="C21" s="73" t="s">
        <v>33</v>
      </c>
      <c r="D21" s="73"/>
      <c r="E21" s="88">
        <v>32</v>
      </c>
      <c r="F21" s="92" t="s">
        <v>34</v>
      </c>
      <c r="G21" s="76">
        <v>2990.83</v>
      </c>
      <c r="H21" s="76"/>
      <c r="I21" s="76">
        <f t="shared" si="6"/>
        <v>0</v>
      </c>
      <c r="J21" s="76">
        <v>261.72000000000003</v>
      </c>
      <c r="K21" s="76"/>
      <c r="L21" s="76">
        <f t="shared" si="2"/>
        <v>864.83</v>
      </c>
      <c r="M21" s="76">
        <v>299.08</v>
      </c>
      <c r="N21" s="76">
        <v>299.08</v>
      </c>
      <c r="O21" s="76"/>
      <c r="P21" s="76">
        <v>194.4</v>
      </c>
      <c r="Q21" s="76"/>
      <c r="R21" s="76"/>
      <c r="S21" s="76"/>
      <c r="T21" s="78">
        <f t="shared" si="4"/>
        <v>4909.9399999999996</v>
      </c>
      <c r="U21" s="90">
        <v>507.37</v>
      </c>
      <c r="V21" s="91">
        <v>89.89</v>
      </c>
      <c r="W21" s="91"/>
      <c r="X21" s="91"/>
      <c r="Y21" s="91"/>
      <c r="Z21" s="91"/>
      <c r="AA21" s="78">
        <f t="shared" si="5"/>
        <v>597.26</v>
      </c>
      <c r="AB21" s="78">
        <f t="shared" si="3"/>
        <v>4312.6799999999994</v>
      </c>
      <c r="AC21" s="80">
        <v>864.83</v>
      </c>
      <c r="AD21" s="80"/>
    </row>
    <row r="22" spans="1:30" ht="12.6" customHeight="1" x14ac:dyDescent="0.3">
      <c r="A22" s="87" t="s">
        <v>24</v>
      </c>
      <c r="B22" s="73" t="s">
        <v>3</v>
      </c>
      <c r="C22" s="73" t="s">
        <v>30</v>
      </c>
      <c r="D22" s="73"/>
      <c r="E22" s="88">
        <v>57</v>
      </c>
      <c r="F22" s="92" t="s">
        <v>35</v>
      </c>
      <c r="G22" s="76">
        <v>1739.5</v>
      </c>
      <c r="H22" s="76"/>
      <c r="I22" s="76">
        <f t="shared" si="6"/>
        <v>0</v>
      </c>
      <c r="J22" s="76">
        <f>200</f>
        <v>200</v>
      </c>
      <c r="K22" s="76"/>
      <c r="L22" s="76">
        <f t="shared" si="2"/>
        <v>0</v>
      </c>
      <c r="M22" s="76">
        <v>78.25</v>
      </c>
      <c r="N22" s="76">
        <v>78.25</v>
      </c>
      <c r="O22" s="76"/>
      <c r="P22" s="76">
        <v>106.92</v>
      </c>
      <c r="Q22" s="76">
        <v>34.950000000000003</v>
      </c>
      <c r="R22" s="76"/>
      <c r="S22" s="76"/>
      <c r="T22" s="78">
        <f t="shared" si="4"/>
        <v>2237.87</v>
      </c>
      <c r="U22" s="90"/>
      <c r="V22" s="91">
        <v>32.369999999999997</v>
      </c>
      <c r="W22" s="91">
        <v>13.04</v>
      </c>
      <c r="X22" s="91"/>
      <c r="Y22" s="91"/>
      <c r="Z22" s="91">
        <v>402.61</v>
      </c>
      <c r="AA22" s="78">
        <f t="shared" si="5"/>
        <v>448.02</v>
      </c>
      <c r="AB22" s="78">
        <f t="shared" si="3"/>
        <v>1789.85</v>
      </c>
      <c r="AC22" s="100"/>
      <c r="AD22" s="100"/>
    </row>
    <row r="23" spans="1:30" ht="12.6" customHeight="1" x14ac:dyDescent="0.3">
      <c r="A23" s="87" t="s">
        <v>24</v>
      </c>
      <c r="B23" s="73" t="s">
        <v>3</v>
      </c>
      <c r="C23" s="73" t="s">
        <v>30</v>
      </c>
      <c r="D23" s="73"/>
      <c r="E23" s="88">
        <v>64</v>
      </c>
      <c r="F23" s="92" t="s">
        <v>36</v>
      </c>
      <c r="G23" s="76">
        <f>3385.17</f>
        <v>3385.17</v>
      </c>
      <c r="H23" s="76"/>
      <c r="I23" s="76">
        <f t="shared" si="6"/>
        <v>0</v>
      </c>
      <c r="J23" s="76">
        <v>90.53</v>
      </c>
      <c r="K23" s="76"/>
      <c r="L23" s="76">
        <f t="shared" si="2"/>
        <v>88.85</v>
      </c>
      <c r="M23" s="76">
        <v>175.86</v>
      </c>
      <c r="N23" s="76">
        <v>175.86</v>
      </c>
      <c r="O23" s="76">
        <f t="shared" si="7"/>
        <v>225.678</v>
      </c>
      <c r="P23" s="76">
        <v>99</v>
      </c>
      <c r="Q23" s="76"/>
      <c r="R23" s="76"/>
      <c r="S23" s="76"/>
      <c r="T23" s="78">
        <f t="shared" si="4"/>
        <v>4240.9480000000003</v>
      </c>
      <c r="U23" s="90">
        <v>387.64</v>
      </c>
      <c r="V23" s="91">
        <v>92.41</v>
      </c>
      <c r="W23" s="91">
        <v>29.31</v>
      </c>
      <c r="X23" s="91"/>
      <c r="Y23" s="91"/>
      <c r="Z23" s="91">
        <v>649.38</v>
      </c>
      <c r="AA23" s="78">
        <f t="shared" si="5"/>
        <v>1158.74</v>
      </c>
      <c r="AB23" s="78">
        <f t="shared" si="3"/>
        <v>3082.2080000000005</v>
      </c>
      <c r="AC23" s="80">
        <f>88.85</f>
        <v>88.85</v>
      </c>
      <c r="AD23" s="80"/>
    </row>
    <row r="24" spans="1:30" ht="12.6" customHeight="1" x14ac:dyDescent="0.3">
      <c r="A24" s="87" t="s">
        <v>24</v>
      </c>
      <c r="B24" s="73" t="s">
        <v>20</v>
      </c>
      <c r="C24" s="73" t="s">
        <v>25</v>
      </c>
      <c r="D24" s="73"/>
      <c r="E24" s="88">
        <v>69</v>
      </c>
      <c r="F24" s="92" t="s">
        <v>37</v>
      </c>
      <c r="G24" s="76">
        <v>2126.12</v>
      </c>
      <c r="H24" s="76"/>
      <c r="I24" s="76">
        <f t="shared" si="6"/>
        <v>0</v>
      </c>
      <c r="J24" s="76">
        <v>188.44</v>
      </c>
      <c r="K24" s="76"/>
      <c r="L24" s="76">
        <f t="shared" si="2"/>
        <v>207.28</v>
      </c>
      <c r="M24" s="76">
        <v>122.66</v>
      </c>
      <c r="N24" s="76">
        <v>122.66</v>
      </c>
      <c r="O24" s="76">
        <f t="shared" si="7"/>
        <v>141.74133333333333</v>
      </c>
      <c r="P24" s="76">
        <v>97.2</v>
      </c>
      <c r="Q24" s="76"/>
      <c r="R24" s="76"/>
      <c r="S24" s="76">
        <f>Q24*0.25</f>
        <v>0</v>
      </c>
      <c r="T24" s="78">
        <f t="shared" si="4"/>
        <v>3006.1013333333331</v>
      </c>
      <c r="U24" s="90">
        <v>77.63</v>
      </c>
      <c r="V24" s="91">
        <v>51.86</v>
      </c>
      <c r="W24" s="91"/>
      <c r="X24" s="91"/>
      <c r="Y24" s="91"/>
      <c r="Z24" s="91"/>
      <c r="AA24" s="78">
        <f t="shared" si="5"/>
        <v>129.49</v>
      </c>
      <c r="AB24" s="78">
        <f t="shared" si="3"/>
        <v>2876.6113333333333</v>
      </c>
      <c r="AC24" s="100">
        <v>207.28</v>
      </c>
      <c r="AD24" s="100"/>
    </row>
    <row r="25" spans="1:30" ht="12.6" customHeight="1" x14ac:dyDescent="0.3">
      <c r="A25" s="87" t="s">
        <v>24</v>
      </c>
      <c r="B25" s="73" t="s">
        <v>3</v>
      </c>
      <c r="C25" s="73" t="s">
        <v>15</v>
      </c>
      <c r="D25" s="73"/>
      <c r="E25" s="88">
        <v>81</v>
      </c>
      <c r="F25" s="92" t="s">
        <v>38</v>
      </c>
      <c r="G25" s="76">
        <v>2549.1999999999998</v>
      </c>
      <c r="H25" s="76"/>
      <c r="I25" s="76">
        <f t="shared" si="6"/>
        <v>0</v>
      </c>
      <c r="J25" s="76">
        <v>166.21</v>
      </c>
      <c r="K25" s="76"/>
      <c r="L25" s="76">
        <f t="shared" si="2"/>
        <v>222.31</v>
      </c>
      <c r="M25" s="76">
        <v>206.9</v>
      </c>
      <c r="N25" s="76">
        <v>206.9</v>
      </c>
      <c r="O25" s="76">
        <f t="shared" si="7"/>
        <v>169.94666666666666</v>
      </c>
      <c r="P25" s="76">
        <v>194.4</v>
      </c>
      <c r="Q25" s="76"/>
      <c r="R25" s="76"/>
      <c r="S25" s="76"/>
      <c r="T25" s="78">
        <f t="shared" si="4"/>
        <v>3715.8666666666668</v>
      </c>
      <c r="U25" s="90">
        <v>303.63</v>
      </c>
      <c r="V25" s="91">
        <v>53</v>
      </c>
      <c r="W25" s="91">
        <v>20.69</v>
      </c>
      <c r="X25" s="91"/>
      <c r="Y25" s="91">
        <v>722.47</v>
      </c>
      <c r="Z25" s="91"/>
      <c r="AA25" s="78">
        <f t="shared" si="5"/>
        <v>1099.79</v>
      </c>
      <c r="AB25" s="78">
        <f t="shared" si="3"/>
        <v>2616.0766666666668</v>
      </c>
      <c r="AC25" s="80">
        <f>222.31</f>
        <v>222.31</v>
      </c>
      <c r="AD25" s="80"/>
    </row>
    <row r="26" spans="1:30" ht="12.6" customHeight="1" x14ac:dyDescent="0.3">
      <c r="A26" s="87" t="s">
        <v>24</v>
      </c>
      <c r="B26" s="73" t="s">
        <v>20</v>
      </c>
      <c r="C26" s="73" t="s">
        <v>39</v>
      </c>
      <c r="D26" s="73"/>
      <c r="E26" s="88">
        <v>106</v>
      </c>
      <c r="F26" s="92" t="s">
        <v>40</v>
      </c>
      <c r="G26" s="76">
        <v>5719.9</v>
      </c>
      <c r="H26" s="76">
        <f>G26/15/8*5</f>
        <v>238.32916666666665</v>
      </c>
      <c r="I26" s="76">
        <f t="shared" si="6"/>
        <v>238.32916666666665</v>
      </c>
      <c r="J26" s="76" t="s">
        <v>274</v>
      </c>
      <c r="K26" s="76"/>
      <c r="L26" s="76">
        <f t="shared" si="2"/>
        <v>4100</v>
      </c>
      <c r="M26" s="76" t="s">
        <v>274</v>
      </c>
      <c r="N26" s="76" t="s">
        <v>274</v>
      </c>
      <c r="O26" s="76">
        <f>G26/15*2</f>
        <v>762.65333333333331</v>
      </c>
      <c r="P26" s="76">
        <v>198.01</v>
      </c>
      <c r="Q26" s="76"/>
      <c r="R26" s="76"/>
      <c r="S26" s="76"/>
      <c r="T26" s="78">
        <f t="shared" si="4"/>
        <v>11257.221666666666</v>
      </c>
      <c r="U26" s="90">
        <v>1879.01</v>
      </c>
      <c r="V26" s="91">
        <v>198.99</v>
      </c>
      <c r="W26" s="91"/>
      <c r="X26" s="91"/>
      <c r="Y26" s="91">
        <v>1240.3399999999999</v>
      </c>
      <c r="Z26" s="91"/>
      <c r="AA26" s="78">
        <f t="shared" si="5"/>
        <v>3318.34</v>
      </c>
      <c r="AB26" s="78">
        <f t="shared" si="3"/>
        <v>7938.8816666666662</v>
      </c>
      <c r="AC26" s="80">
        <v>4100</v>
      </c>
      <c r="AD26" s="80"/>
    </row>
    <row r="27" spans="1:30" ht="12.6" customHeight="1" x14ac:dyDescent="0.3">
      <c r="A27" s="87" t="s">
        <v>24</v>
      </c>
      <c r="B27" s="73" t="s">
        <v>3</v>
      </c>
      <c r="C27" s="73" t="s">
        <v>30</v>
      </c>
      <c r="D27" s="73"/>
      <c r="E27" s="88">
        <v>108</v>
      </c>
      <c r="F27" s="92" t="s">
        <v>41</v>
      </c>
      <c r="G27" s="76">
        <v>1917.3400000000001</v>
      </c>
      <c r="H27" s="76"/>
      <c r="I27" s="76">
        <f t="shared" si="6"/>
        <v>0</v>
      </c>
      <c r="J27" s="76">
        <v>99.51</v>
      </c>
      <c r="K27" s="76"/>
      <c r="L27" s="76">
        <f t="shared" si="2"/>
        <v>970</v>
      </c>
      <c r="M27" s="76">
        <v>158.34</v>
      </c>
      <c r="N27" s="76">
        <v>158.34</v>
      </c>
      <c r="O27" s="76"/>
      <c r="P27" s="76">
        <v>106.92</v>
      </c>
      <c r="Q27" s="76"/>
      <c r="R27" s="76"/>
      <c r="S27" s="76"/>
      <c r="T27" s="78">
        <f t="shared" si="4"/>
        <v>3410.4500000000007</v>
      </c>
      <c r="U27" s="90">
        <v>141.87</v>
      </c>
      <c r="V27" s="91">
        <v>39.31</v>
      </c>
      <c r="W27" s="91">
        <v>15.83</v>
      </c>
      <c r="X27" s="91"/>
      <c r="Y27" s="91"/>
      <c r="Z27" s="91"/>
      <c r="AA27" s="78">
        <f t="shared" si="5"/>
        <v>197.01000000000002</v>
      </c>
      <c r="AB27" s="78">
        <f t="shared" si="3"/>
        <v>3213.4400000000005</v>
      </c>
      <c r="AC27" s="80">
        <v>970</v>
      </c>
      <c r="AD27" s="80"/>
    </row>
    <row r="28" spans="1:30" ht="12.6" customHeight="1" x14ac:dyDescent="0.3">
      <c r="A28" s="87" t="s">
        <v>24</v>
      </c>
      <c r="B28" s="73" t="s">
        <v>3</v>
      </c>
      <c r="C28" s="73" t="s">
        <v>42</v>
      </c>
      <c r="D28" s="73"/>
      <c r="E28" s="88">
        <v>129</v>
      </c>
      <c r="F28" s="92" t="s">
        <v>43</v>
      </c>
      <c r="G28" s="76">
        <v>5885.07</v>
      </c>
      <c r="H28" s="76">
        <f>G28/15</f>
        <v>392.33799999999997</v>
      </c>
      <c r="I28" s="76">
        <f t="shared" si="6"/>
        <v>392.33799999999997</v>
      </c>
      <c r="J28" s="76">
        <v>0</v>
      </c>
      <c r="K28" s="76"/>
      <c r="L28" s="76">
        <f t="shared" si="2"/>
        <v>500</v>
      </c>
      <c r="M28" s="76">
        <v>399.39</v>
      </c>
      <c r="N28" s="76">
        <v>399.39</v>
      </c>
      <c r="O28" s="76">
        <f t="shared" si="7"/>
        <v>392.33799999999997</v>
      </c>
      <c r="P28" s="76">
        <v>100</v>
      </c>
      <c r="Q28" s="76"/>
      <c r="R28" s="76"/>
      <c r="S28" s="76"/>
      <c r="T28" s="78">
        <f t="shared" si="4"/>
        <v>8460.8639999999996</v>
      </c>
      <c r="U28" s="90">
        <v>1260.05</v>
      </c>
      <c r="V28" s="91">
        <v>141.01</v>
      </c>
      <c r="W28" s="91">
        <v>40</v>
      </c>
      <c r="X28" s="91"/>
      <c r="Y28" s="91"/>
      <c r="Z28" s="91"/>
      <c r="AA28" s="78">
        <f t="shared" si="5"/>
        <v>1441.06</v>
      </c>
      <c r="AB28" s="78">
        <f t="shared" si="3"/>
        <v>7019.8040000000001</v>
      </c>
      <c r="AC28" s="80">
        <v>500</v>
      </c>
      <c r="AD28" s="80"/>
    </row>
    <row r="29" spans="1:30" hidden="1" thickTop="1" x14ac:dyDescent="0.3">
      <c r="T29" s="105"/>
      <c r="AA29" s="105"/>
      <c r="AB29" s="105"/>
    </row>
    <row r="30" spans="1:30" hidden="1" thickTop="1" x14ac:dyDescent="0.3"/>
    <row r="31" spans="1:30" hidden="1" thickTop="1" x14ac:dyDescent="0.3">
      <c r="B31" s="106"/>
      <c r="C31" s="106"/>
      <c r="D31" s="106"/>
    </row>
    <row r="32" spans="1:30" hidden="1" thickTop="1" x14ac:dyDescent="0.3"/>
    <row r="33" spans="1:30" hidden="1" thickTop="1" x14ac:dyDescent="0.3"/>
    <row r="34" spans="1:30" hidden="1" thickTop="1" x14ac:dyDescent="0.3"/>
    <row r="35" spans="1:30" hidden="1" thickTop="1" x14ac:dyDescent="0.3"/>
    <row r="36" spans="1:30" hidden="1" thickTop="1" x14ac:dyDescent="0.3"/>
    <row r="37" spans="1:30" ht="10.5" customHeight="1" x14ac:dyDescent="0.3">
      <c r="A37" s="95" t="s">
        <v>44</v>
      </c>
      <c r="B37" s="73" t="s">
        <v>3</v>
      </c>
      <c r="C37" s="73" t="s">
        <v>45</v>
      </c>
      <c r="D37" s="73"/>
      <c r="E37" s="88">
        <v>42</v>
      </c>
      <c r="F37" s="93" t="s">
        <v>46</v>
      </c>
      <c r="G37" s="97">
        <v>1444.32</v>
      </c>
      <c r="H37" s="76"/>
      <c r="I37" s="76"/>
      <c r="J37" s="76">
        <v>82.3</v>
      </c>
      <c r="K37" s="76"/>
      <c r="L37" s="76">
        <v>541.12</v>
      </c>
      <c r="M37" s="76">
        <v>72.52</v>
      </c>
      <c r="N37" s="76">
        <v>72.52</v>
      </c>
      <c r="O37" s="107"/>
      <c r="P37" s="76">
        <v>106.92</v>
      </c>
      <c r="Q37" s="76">
        <v>11.05</v>
      </c>
      <c r="R37" s="91"/>
      <c r="S37" s="91"/>
      <c r="T37" s="78">
        <f t="shared" ref="T37:T43" si="8">SUM(G37:S37)</f>
        <v>2330.75</v>
      </c>
      <c r="U37" s="90"/>
      <c r="V37" s="91">
        <v>30.01</v>
      </c>
      <c r="W37" s="86">
        <v>12.08</v>
      </c>
      <c r="X37" s="91"/>
      <c r="Y37" s="91">
        <v>315.89999999999998</v>
      </c>
      <c r="Z37" s="78">
        <v>586.33000000000004</v>
      </c>
      <c r="AA37" s="78">
        <f>SUM(U37:Z37)</f>
        <v>944.32</v>
      </c>
      <c r="AB37" s="78">
        <f>T37-AA37</f>
        <v>1386.4299999999998</v>
      </c>
      <c r="AC37" s="80">
        <v>541.12</v>
      </c>
      <c r="AD37" s="80"/>
    </row>
    <row r="38" spans="1:30" ht="10.5" customHeight="1" x14ac:dyDescent="0.3">
      <c r="A38" s="95" t="s">
        <v>44</v>
      </c>
      <c r="B38" s="73" t="s">
        <v>3</v>
      </c>
      <c r="C38" s="73" t="s">
        <v>25</v>
      </c>
      <c r="D38" s="73"/>
      <c r="E38" s="88">
        <v>54</v>
      </c>
      <c r="F38" s="93" t="s">
        <v>47</v>
      </c>
      <c r="G38" s="97">
        <v>1453.03</v>
      </c>
      <c r="H38" s="76"/>
      <c r="I38" s="76"/>
      <c r="J38" s="76">
        <v>90.53</v>
      </c>
      <c r="K38" s="76"/>
      <c r="L38" s="76">
        <v>216</v>
      </c>
      <c r="M38" s="76">
        <v>74.09</v>
      </c>
      <c r="N38" s="76">
        <v>74.09</v>
      </c>
      <c r="O38" s="108">
        <v>193.73733333333334</v>
      </c>
      <c r="P38" s="76">
        <v>106.92</v>
      </c>
      <c r="Q38" s="76">
        <v>34.78</v>
      </c>
      <c r="R38" s="91"/>
      <c r="S38" s="91"/>
      <c r="T38" s="78">
        <f t="shared" si="8"/>
        <v>2243.1773333333335</v>
      </c>
      <c r="U38" s="90"/>
      <c r="V38" s="91">
        <v>30.66</v>
      </c>
      <c r="W38" s="91">
        <v>12.35</v>
      </c>
      <c r="X38" s="91"/>
      <c r="Y38" s="91"/>
      <c r="Z38" s="78"/>
      <c r="AA38" s="78">
        <f t="shared" ref="AA38:AA43" si="9">SUM(U38:Z38)</f>
        <v>43.01</v>
      </c>
      <c r="AB38" s="78">
        <f t="shared" ref="AB38:AB43" si="10">T38-AA38</f>
        <v>2200.1673333333333</v>
      </c>
      <c r="AC38" s="80">
        <v>216</v>
      </c>
      <c r="AD38" s="80"/>
    </row>
    <row r="39" spans="1:30" ht="10.5" customHeight="1" x14ac:dyDescent="0.3">
      <c r="A39" s="95" t="s">
        <v>44</v>
      </c>
      <c r="B39" s="73" t="s">
        <v>3</v>
      </c>
      <c r="C39" s="73" t="s">
        <v>30</v>
      </c>
      <c r="D39" s="73"/>
      <c r="E39" s="88">
        <v>59</v>
      </c>
      <c r="F39" s="93" t="s">
        <v>48</v>
      </c>
      <c r="G39" s="97">
        <v>1531.02</v>
      </c>
      <c r="H39" s="76"/>
      <c r="I39" s="76"/>
      <c r="J39" s="76">
        <v>105.16</v>
      </c>
      <c r="K39" s="76"/>
      <c r="L39" s="76">
        <v>87.29</v>
      </c>
      <c r="M39" s="76">
        <v>78.56</v>
      </c>
      <c r="N39" s="76">
        <v>78.56</v>
      </c>
      <c r="O39" s="107"/>
      <c r="P39" s="76">
        <v>106.92</v>
      </c>
      <c r="Q39" s="76">
        <v>68.16</v>
      </c>
      <c r="R39" s="91"/>
      <c r="S39" s="91"/>
      <c r="T39" s="78">
        <f t="shared" si="8"/>
        <v>2055.67</v>
      </c>
      <c r="U39" s="90"/>
      <c r="V39" s="91">
        <v>32.5</v>
      </c>
      <c r="W39" s="109">
        <v>13.09</v>
      </c>
      <c r="X39" s="91"/>
      <c r="Y39" s="91"/>
      <c r="Z39" s="78">
        <v>242.48</v>
      </c>
      <c r="AA39" s="78">
        <f t="shared" si="9"/>
        <v>288.07</v>
      </c>
      <c r="AB39" s="78">
        <f t="shared" si="10"/>
        <v>1767.6000000000001</v>
      </c>
      <c r="AC39" s="80">
        <v>87.29</v>
      </c>
      <c r="AD39" s="80"/>
    </row>
    <row r="40" spans="1:30" ht="10.5" customHeight="1" x14ac:dyDescent="0.25">
      <c r="A40" s="110" t="s">
        <v>44</v>
      </c>
      <c r="B40" s="73" t="s">
        <v>20</v>
      </c>
      <c r="C40" s="73" t="s">
        <v>30</v>
      </c>
      <c r="D40" s="73"/>
      <c r="E40" s="111">
        <v>61</v>
      </c>
      <c r="F40" s="112" t="s">
        <v>49</v>
      </c>
      <c r="G40" s="113">
        <v>992.21</v>
      </c>
      <c r="H40" s="108"/>
      <c r="I40" s="108"/>
      <c r="J40" s="108">
        <v>82.3</v>
      </c>
      <c r="K40" s="76"/>
      <c r="L40" s="76">
        <v>259.3</v>
      </c>
      <c r="M40" s="108">
        <v>55.64</v>
      </c>
      <c r="N40" s="108">
        <v>55.64</v>
      </c>
      <c r="O40" s="107"/>
      <c r="P40" s="108">
        <v>97.2</v>
      </c>
      <c r="Q40" s="108">
        <v>106.2</v>
      </c>
      <c r="R40" s="90"/>
      <c r="S40" s="90"/>
      <c r="T40" s="78">
        <f t="shared" si="8"/>
        <v>1648.4900000000002</v>
      </c>
      <c r="U40" s="90"/>
      <c r="V40" s="90">
        <v>23.01</v>
      </c>
      <c r="W40" s="109"/>
      <c r="X40" s="90"/>
      <c r="Y40" s="90"/>
      <c r="Z40" s="78"/>
      <c r="AA40" s="78">
        <f t="shared" si="9"/>
        <v>23.01</v>
      </c>
      <c r="AB40" s="78">
        <f t="shared" si="10"/>
        <v>1625.4800000000002</v>
      </c>
      <c r="AC40" s="114">
        <v>259.3</v>
      </c>
      <c r="AD40" s="114"/>
    </row>
    <row r="41" spans="1:30" ht="10.5" customHeight="1" x14ac:dyDescent="0.25">
      <c r="A41" s="95" t="s">
        <v>44</v>
      </c>
      <c r="B41" s="73" t="s">
        <v>3</v>
      </c>
      <c r="C41" s="73" t="s">
        <v>50</v>
      </c>
      <c r="D41" s="73"/>
      <c r="E41" s="88">
        <v>124</v>
      </c>
      <c r="F41" s="93" t="s">
        <v>51</v>
      </c>
      <c r="G41" s="97">
        <v>2801.83</v>
      </c>
      <c r="H41" s="76"/>
      <c r="I41" s="76"/>
      <c r="J41" s="76">
        <v>124</v>
      </c>
      <c r="K41" s="76"/>
      <c r="L41" s="76">
        <v>305</v>
      </c>
      <c r="M41" s="76">
        <v>239.18</v>
      </c>
      <c r="N41" s="76">
        <v>239.18</v>
      </c>
      <c r="O41" s="108">
        <v>373.57733333333334</v>
      </c>
      <c r="P41" s="76"/>
      <c r="Q41" s="76"/>
      <c r="R41" s="91"/>
      <c r="S41" s="91"/>
      <c r="T41" s="78">
        <f t="shared" si="8"/>
        <v>4082.7673333333328</v>
      </c>
      <c r="U41" s="90">
        <v>362.33</v>
      </c>
      <c r="V41" s="91">
        <v>67.739999999999995</v>
      </c>
      <c r="W41" s="109">
        <v>40</v>
      </c>
      <c r="X41" s="91"/>
      <c r="Y41" s="91"/>
      <c r="Z41" s="78">
        <v>674.38</v>
      </c>
      <c r="AA41" s="78">
        <f t="shared" si="9"/>
        <v>1144.45</v>
      </c>
      <c r="AB41" s="78">
        <f t="shared" si="10"/>
        <v>2938.3173333333325</v>
      </c>
      <c r="AC41" s="80">
        <v>305</v>
      </c>
      <c r="AD41" s="80"/>
    </row>
    <row r="42" spans="1:30" ht="10.5" customHeight="1" x14ac:dyDescent="0.25">
      <c r="A42" s="95" t="s">
        <v>44</v>
      </c>
      <c r="B42" s="73" t="s">
        <v>20</v>
      </c>
      <c r="C42" s="73" t="s">
        <v>52</v>
      </c>
      <c r="D42" s="73"/>
      <c r="E42" s="88">
        <v>126</v>
      </c>
      <c r="F42" s="93" t="s">
        <v>53</v>
      </c>
      <c r="G42" s="97">
        <v>2887.42</v>
      </c>
      <c r="H42" s="76"/>
      <c r="I42" s="76"/>
      <c r="J42" s="76">
        <v>124</v>
      </c>
      <c r="K42" s="76"/>
      <c r="L42" s="76">
        <v>305</v>
      </c>
      <c r="M42" s="76">
        <v>239.18</v>
      </c>
      <c r="N42" s="76">
        <v>239.18</v>
      </c>
      <c r="O42" s="108">
        <v>384.98933333333332</v>
      </c>
      <c r="P42" s="76"/>
      <c r="Q42" s="76"/>
      <c r="R42" s="91"/>
      <c r="S42" s="91"/>
      <c r="T42" s="78">
        <f t="shared" si="8"/>
        <v>4179.7693333333327</v>
      </c>
      <c r="U42" s="90">
        <v>377.85</v>
      </c>
      <c r="V42" s="91">
        <v>67.739999999999995</v>
      </c>
      <c r="W42" s="109"/>
      <c r="X42" s="91"/>
      <c r="Y42" s="91"/>
      <c r="Z42" s="78"/>
      <c r="AA42" s="78">
        <f t="shared" si="9"/>
        <v>445.59000000000003</v>
      </c>
      <c r="AB42" s="78">
        <f t="shared" si="10"/>
        <v>3734.1793333333326</v>
      </c>
      <c r="AC42" s="80">
        <v>305</v>
      </c>
      <c r="AD42" s="80"/>
    </row>
    <row r="43" spans="1:30" ht="10.5" customHeight="1" x14ac:dyDescent="0.25">
      <c r="A43" s="95" t="s">
        <v>44</v>
      </c>
      <c r="B43" s="73" t="s">
        <v>20</v>
      </c>
      <c r="C43" s="73" t="s">
        <v>52</v>
      </c>
      <c r="D43" s="73"/>
      <c r="E43" s="111">
        <v>116</v>
      </c>
      <c r="F43" s="115" t="s">
        <v>54</v>
      </c>
      <c r="G43" s="108">
        <v>2218.63</v>
      </c>
      <c r="H43" s="108"/>
      <c r="I43" s="108">
        <v>0</v>
      </c>
      <c r="J43" s="108"/>
      <c r="K43" s="76"/>
      <c r="L43" s="76">
        <v>305</v>
      </c>
      <c r="M43" s="108">
        <v>213.33</v>
      </c>
      <c r="N43" s="108">
        <v>213.33</v>
      </c>
      <c r="O43" s="108">
        <v>295.81733333333335</v>
      </c>
      <c r="P43" s="108">
        <v>97.21</v>
      </c>
      <c r="Q43" s="108"/>
      <c r="R43" s="90"/>
      <c r="S43" s="90"/>
      <c r="T43" s="78">
        <f t="shared" si="8"/>
        <v>3343.3173333333334</v>
      </c>
      <c r="U43" s="90">
        <v>134.57</v>
      </c>
      <c r="V43" s="90">
        <v>55.93</v>
      </c>
      <c r="W43" s="109"/>
      <c r="X43" s="90">
        <v>479.38</v>
      </c>
      <c r="Y43" s="90"/>
      <c r="Z43" s="78">
        <v>597.29999999999995</v>
      </c>
      <c r="AA43" s="78">
        <f t="shared" si="9"/>
        <v>1267.1799999999998</v>
      </c>
      <c r="AB43" s="78">
        <f t="shared" si="10"/>
        <v>2076.1373333333336</v>
      </c>
      <c r="AC43" s="80">
        <v>305</v>
      </c>
      <c r="AD43" s="80"/>
    </row>
    <row r="46" spans="1:30" x14ac:dyDescent="0.25">
      <c r="B46" s="106"/>
      <c r="C46" s="106"/>
      <c r="D46" s="106"/>
    </row>
  </sheetData>
  <pageMargins left="0.62992125984251968" right="3.937007874015748E-2" top="1.23" bottom="0.38" header="0.31496062992125984" footer="0.31496062992125984"/>
  <pageSetup paperSize="190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140"/>
  <sheetViews>
    <sheetView topLeftCell="E1" zoomScaleNormal="100" workbookViewId="0">
      <selection activeCell="G5" sqref="G5"/>
    </sheetView>
  </sheetViews>
  <sheetFormatPr baseColWidth="10" defaultRowHeight="15" x14ac:dyDescent="0.25"/>
  <cols>
    <col min="1" max="1" width="12.42578125" style="2" hidden="1" customWidth="1"/>
    <col min="2" max="2" width="10.85546875" style="2" hidden="1" customWidth="1"/>
    <col min="3" max="3" width="30.42578125" style="2" hidden="1" customWidth="1"/>
    <col min="4" max="4" width="13" style="2" hidden="1" customWidth="1"/>
    <col min="5" max="5" width="4.140625" style="2" bestFit="1" customWidth="1"/>
    <col min="6" max="6" width="30.140625" style="2" customWidth="1"/>
    <col min="7" max="7" width="6.28515625" style="43" customWidth="1"/>
    <col min="8" max="8" width="7.7109375" style="43" bestFit="1" customWidth="1"/>
    <col min="9" max="9" width="7.5703125" style="43" customWidth="1"/>
    <col min="10" max="10" width="7.28515625" style="43" customWidth="1"/>
    <col min="11" max="11" width="7.85546875" style="43" bestFit="1" customWidth="1"/>
    <col min="12" max="12" width="8.140625" style="43" customWidth="1"/>
    <col min="13" max="13" width="8.7109375" style="43" bestFit="1" customWidth="1"/>
    <col min="14" max="14" width="9.7109375" style="43" customWidth="1"/>
    <col min="15" max="15" width="9.85546875" style="43" customWidth="1"/>
    <col min="16" max="16" width="7" style="196" bestFit="1" customWidth="1"/>
    <col min="17" max="17" width="7.7109375" style="43" bestFit="1" customWidth="1"/>
    <col min="18" max="18" width="7" style="186" customWidth="1"/>
    <col min="19" max="19" width="7.5703125" style="186" bestFit="1" customWidth="1"/>
    <col min="20" max="21" width="7" style="43" bestFit="1" customWidth="1"/>
    <col min="22" max="22" width="9.7109375" style="43" customWidth="1"/>
    <col min="23" max="23" width="7.7109375" style="43" customWidth="1"/>
    <col min="24" max="24" width="13.140625" style="2" hidden="1" customWidth="1"/>
    <col min="25" max="25" width="18" style="2" hidden="1" customWidth="1"/>
    <col min="26" max="26" width="8.5703125" style="118" customWidth="1"/>
  </cols>
  <sheetData>
    <row r="1" spans="1:26" ht="8.25" customHeight="1" x14ac:dyDescent="0.3">
      <c r="A1" s="1"/>
      <c r="B1" s="1"/>
      <c r="C1" s="1"/>
      <c r="D1" s="1"/>
      <c r="F1" s="116"/>
      <c r="G1" s="116"/>
      <c r="H1" s="116"/>
      <c r="I1" s="117"/>
      <c r="J1" s="116" t="s">
        <v>277</v>
      </c>
      <c r="K1" s="116"/>
      <c r="L1" s="116"/>
      <c r="M1" s="116"/>
      <c r="N1" s="116"/>
      <c r="O1" s="116"/>
      <c r="P1" s="192"/>
      <c r="Q1" s="116"/>
      <c r="R1" s="116"/>
      <c r="S1" s="116"/>
      <c r="T1" s="116"/>
      <c r="U1" s="116"/>
      <c r="V1" s="116"/>
      <c r="W1" s="116"/>
      <c r="X1" s="116"/>
      <c r="Y1" s="116"/>
    </row>
    <row r="2" spans="1:26" ht="8.25" customHeight="1" x14ac:dyDescent="0.3">
      <c r="A2" s="1"/>
      <c r="B2" s="1"/>
      <c r="C2" s="1"/>
      <c r="D2" s="1"/>
      <c r="F2" s="116"/>
      <c r="G2" s="116"/>
      <c r="H2" s="116"/>
      <c r="I2" s="117"/>
      <c r="J2" s="116" t="s">
        <v>294</v>
      </c>
      <c r="K2" s="116"/>
      <c r="L2" s="116"/>
      <c r="M2" s="116"/>
      <c r="N2" s="116"/>
      <c r="O2" s="116"/>
      <c r="P2" s="192"/>
      <c r="Q2" s="116"/>
      <c r="R2" s="116"/>
      <c r="S2" s="116"/>
      <c r="T2" s="116"/>
      <c r="U2" s="116"/>
      <c r="V2" s="116"/>
      <c r="W2" s="116"/>
      <c r="X2" s="116"/>
      <c r="Y2" s="116"/>
    </row>
    <row r="3" spans="1:26" s="65" customFormat="1" ht="8.25" customHeight="1" thickBot="1" x14ac:dyDescent="0.35">
      <c r="A3" s="54"/>
      <c r="B3" s="54"/>
      <c r="C3" s="54"/>
      <c r="D3" s="54"/>
      <c r="E3" s="119"/>
      <c r="F3" s="119"/>
      <c r="G3" s="119"/>
      <c r="H3" s="119">
        <v>12201</v>
      </c>
      <c r="I3" s="119">
        <v>15404</v>
      </c>
      <c r="J3" s="119">
        <v>15406</v>
      </c>
      <c r="K3" s="119">
        <v>13301</v>
      </c>
      <c r="L3" s="119">
        <v>15901</v>
      </c>
      <c r="M3" s="119">
        <v>13204</v>
      </c>
      <c r="N3" s="119">
        <v>13204</v>
      </c>
      <c r="O3" s="119"/>
      <c r="P3" s="193">
        <v>2111.1</v>
      </c>
      <c r="Q3" s="121">
        <v>52010304</v>
      </c>
      <c r="R3" s="119">
        <v>52010102</v>
      </c>
      <c r="S3" s="119"/>
      <c r="T3" s="119">
        <v>52010305</v>
      </c>
      <c r="U3" s="122">
        <v>52010501</v>
      </c>
      <c r="V3" s="119"/>
      <c r="W3" s="119"/>
      <c r="X3" s="119"/>
      <c r="Y3" s="119"/>
    </row>
    <row r="4" spans="1:26" ht="20.25" customHeight="1" thickBot="1" x14ac:dyDescent="0.35">
      <c r="A4" s="123" t="s">
        <v>279</v>
      </c>
      <c r="B4" s="67" t="s">
        <v>249</v>
      </c>
      <c r="C4" s="67" t="s">
        <v>250</v>
      </c>
      <c r="D4" s="67" t="s">
        <v>251</v>
      </c>
      <c r="E4" s="124" t="s">
        <v>0</v>
      </c>
      <c r="F4" s="125" t="s">
        <v>280</v>
      </c>
      <c r="G4" s="126" t="s">
        <v>281</v>
      </c>
      <c r="H4" s="126" t="s">
        <v>254</v>
      </c>
      <c r="I4" s="126" t="s">
        <v>257</v>
      </c>
      <c r="J4" s="126" t="s">
        <v>261</v>
      </c>
      <c r="K4" s="126" t="s">
        <v>282</v>
      </c>
      <c r="L4" s="126" t="s">
        <v>283</v>
      </c>
      <c r="M4" s="127" t="s">
        <v>264</v>
      </c>
      <c r="N4" s="126" t="s">
        <v>265</v>
      </c>
      <c r="O4" s="126" t="s">
        <v>55</v>
      </c>
      <c r="P4" s="194" t="s">
        <v>1</v>
      </c>
      <c r="Q4" s="126" t="s">
        <v>284</v>
      </c>
      <c r="R4" s="128" t="s">
        <v>56</v>
      </c>
      <c r="S4" s="129" t="s">
        <v>270</v>
      </c>
      <c r="T4" s="126" t="s">
        <v>285</v>
      </c>
      <c r="U4" s="126" t="s">
        <v>286</v>
      </c>
      <c r="V4" s="126" t="s">
        <v>272</v>
      </c>
      <c r="W4" s="126" t="s">
        <v>273</v>
      </c>
      <c r="X4" s="126" t="s">
        <v>287</v>
      </c>
      <c r="Y4" s="126" t="s">
        <v>288</v>
      </c>
    </row>
    <row r="5" spans="1:26" s="137" customFormat="1" ht="11.45" customHeight="1" x14ac:dyDescent="0.3">
      <c r="A5" s="3" t="s">
        <v>57</v>
      </c>
      <c r="B5" s="73" t="s">
        <v>58</v>
      </c>
      <c r="C5" s="73" t="s">
        <v>52</v>
      </c>
      <c r="D5" s="73"/>
      <c r="E5" s="130">
        <v>1</v>
      </c>
      <c r="F5" s="131" t="s">
        <v>59</v>
      </c>
      <c r="G5" s="131">
        <v>204.29</v>
      </c>
      <c r="H5" s="132">
        <f>G5*15</f>
        <v>3064.35</v>
      </c>
      <c r="I5" s="131"/>
      <c r="J5" s="131"/>
      <c r="K5" s="195"/>
      <c r="L5" s="131">
        <f>Y5+X5</f>
        <v>670</v>
      </c>
      <c r="M5" s="132"/>
      <c r="N5" s="132"/>
      <c r="O5" s="132">
        <f t="shared" ref="O5:O55" si="0">SUM(H5:N5)</f>
        <v>3734.35</v>
      </c>
      <c r="P5" s="131">
        <v>306.58</v>
      </c>
      <c r="Q5" s="133"/>
      <c r="R5" s="134"/>
      <c r="S5" s="134"/>
      <c r="T5" s="131"/>
      <c r="U5" s="131"/>
      <c r="V5" s="132">
        <f>SUM(P5:U5)</f>
        <v>306.58</v>
      </c>
      <c r="W5" s="135">
        <f>O5-V5</f>
        <v>3427.77</v>
      </c>
      <c r="X5" s="131">
        <v>670</v>
      </c>
      <c r="Y5" s="131"/>
      <c r="Z5" s="136"/>
    </row>
    <row r="6" spans="1:26" s="137" customFormat="1" ht="11.45" customHeight="1" x14ac:dyDescent="0.25">
      <c r="A6" s="4" t="s">
        <v>57</v>
      </c>
      <c r="B6" s="73" t="s">
        <v>58</v>
      </c>
      <c r="C6" s="73" t="s">
        <v>60</v>
      </c>
      <c r="D6" s="73"/>
      <c r="E6" s="130">
        <v>2</v>
      </c>
      <c r="F6" s="131" t="s">
        <v>61</v>
      </c>
      <c r="G6" s="131">
        <v>111.56</v>
      </c>
      <c r="H6" s="132">
        <f t="shared" ref="H6:H53" si="1">G6*15</f>
        <v>1673.4</v>
      </c>
      <c r="I6" s="131"/>
      <c r="J6" s="131"/>
      <c r="K6" s="131"/>
      <c r="L6" s="131">
        <f t="shared" ref="L6:L55" si="2">Y6+X6</f>
        <v>600</v>
      </c>
      <c r="M6" s="132"/>
      <c r="N6" s="131"/>
      <c r="O6" s="132">
        <f t="shared" si="0"/>
        <v>2273.4</v>
      </c>
      <c r="P6" s="131">
        <v>143.26</v>
      </c>
      <c r="Q6" s="133">
        <v>250</v>
      </c>
      <c r="R6" s="134">
        <v>40.229999999999997</v>
      </c>
      <c r="S6" s="134"/>
      <c r="T6" s="131"/>
      <c r="U6" s="131"/>
      <c r="V6" s="132">
        <f t="shared" ref="V6:V55" si="3">SUM(P6:U6)</f>
        <v>433.49</v>
      </c>
      <c r="W6" s="135">
        <f t="shared" ref="W6:W55" si="4">O6-V6</f>
        <v>1839.91</v>
      </c>
      <c r="X6" s="131">
        <v>600</v>
      </c>
      <c r="Y6" s="131"/>
      <c r="Z6" s="136"/>
    </row>
    <row r="7" spans="1:26" s="137" customFormat="1" ht="11.45" customHeight="1" x14ac:dyDescent="0.3">
      <c r="A7" s="4" t="s">
        <v>57</v>
      </c>
      <c r="B7" s="73" t="s">
        <v>58</v>
      </c>
      <c r="C7" s="138" t="s">
        <v>62</v>
      </c>
      <c r="D7" s="73"/>
      <c r="E7" s="130">
        <v>3</v>
      </c>
      <c r="F7" s="139" t="s">
        <v>63</v>
      </c>
      <c r="G7" s="132">
        <v>226.66</v>
      </c>
      <c r="H7" s="132">
        <f t="shared" si="1"/>
        <v>3399.9</v>
      </c>
      <c r="I7" s="131"/>
      <c r="J7" s="132"/>
      <c r="K7" s="132"/>
      <c r="L7" s="131">
        <f t="shared" si="2"/>
        <v>500</v>
      </c>
      <c r="M7" s="132"/>
      <c r="N7" s="132"/>
      <c r="O7" s="132">
        <f t="shared" si="0"/>
        <v>3899.9</v>
      </c>
      <c r="P7" s="131">
        <v>333.07</v>
      </c>
      <c r="Q7" s="131"/>
      <c r="R7" s="134">
        <v>46.88</v>
      </c>
      <c r="S7" s="134"/>
      <c r="T7" s="131"/>
      <c r="U7" s="131"/>
      <c r="V7" s="132">
        <f t="shared" si="3"/>
        <v>379.95</v>
      </c>
      <c r="W7" s="135">
        <f t="shared" si="4"/>
        <v>3519.9500000000003</v>
      </c>
      <c r="X7" s="132">
        <v>500</v>
      </c>
      <c r="Y7" s="132"/>
      <c r="Z7" s="136"/>
    </row>
    <row r="8" spans="1:26" s="137" customFormat="1" ht="11.45" customHeight="1" x14ac:dyDescent="0.3">
      <c r="A8" s="4" t="s">
        <v>57</v>
      </c>
      <c r="B8" s="73" t="s">
        <v>58</v>
      </c>
      <c r="C8" s="138" t="s">
        <v>65</v>
      </c>
      <c r="D8" s="73"/>
      <c r="E8" s="130">
        <v>4</v>
      </c>
      <c r="F8" s="131" t="s">
        <v>66</v>
      </c>
      <c r="G8" s="131">
        <v>700</v>
      </c>
      <c r="H8" s="132">
        <f t="shared" si="1"/>
        <v>10500</v>
      </c>
      <c r="I8" s="131"/>
      <c r="J8" s="140"/>
      <c r="K8" s="131"/>
      <c r="L8" s="131"/>
      <c r="M8" s="132"/>
      <c r="N8" s="132"/>
      <c r="O8" s="132">
        <f t="shared" si="0"/>
        <v>10500</v>
      </c>
      <c r="P8" s="131">
        <v>1700.91</v>
      </c>
      <c r="Q8" s="132">
        <v>1300</v>
      </c>
      <c r="R8" s="134">
        <v>56.26</v>
      </c>
      <c r="S8" s="134"/>
      <c r="T8" s="131"/>
      <c r="U8" s="131"/>
      <c r="V8" s="132">
        <f t="shared" si="3"/>
        <v>3057.17</v>
      </c>
      <c r="W8" s="135">
        <f t="shared" si="4"/>
        <v>7442.83</v>
      </c>
      <c r="X8" s="131">
        <v>1400</v>
      </c>
      <c r="Y8" s="131"/>
      <c r="Z8" s="136"/>
    </row>
    <row r="9" spans="1:26" s="137" customFormat="1" ht="11.45" customHeight="1" x14ac:dyDescent="0.3">
      <c r="A9" s="4" t="s">
        <v>14</v>
      </c>
      <c r="B9" s="73" t="s">
        <v>58</v>
      </c>
      <c r="C9" s="73" t="s">
        <v>17</v>
      </c>
      <c r="D9" s="73"/>
      <c r="E9" s="130">
        <v>5</v>
      </c>
      <c r="F9" s="133" t="s">
        <v>64</v>
      </c>
      <c r="G9" s="132">
        <v>104</v>
      </c>
      <c r="H9" s="132">
        <f t="shared" si="1"/>
        <v>1560</v>
      </c>
      <c r="I9" s="131"/>
      <c r="J9" s="133">
        <f>G9*3</f>
        <v>312</v>
      </c>
      <c r="K9" s="133"/>
      <c r="L9" s="131">
        <f t="shared" si="2"/>
        <v>850</v>
      </c>
      <c r="M9" s="132"/>
      <c r="N9" s="133"/>
      <c r="O9" s="132">
        <f t="shared" si="0"/>
        <v>2722</v>
      </c>
      <c r="P9" s="139">
        <v>192.07</v>
      </c>
      <c r="Q9" s="133">
        <v>0</v>
      </c>
      <c r="R9" s="141"/>
      <c r="S9" s="141"/>
      <c r="T9" s="133"/>
      <c r="U9" s="133"/>
      <c r="V9" s="132">
        <f t="shared" si="3"/>
        <v>192.07</v>
      </c>
      <c r="W9" s="135">
        <f t="shared" si="4"/>
        <v>2529.9299999999998</v>
      </c>
      <c r="X9" s="133">
        <v>850</v>
      </c>
      <c r="Y9" s="133"/>
      <c r="Z9" s="136"/>
    </row>
    <row r="10" spans="1:26" s="137" customFormat="1" ht="11.45" customHeight="1" x14ac:dyDescent="0.25">
      <c r="A10" s="142" t="s">
        <v>57</v>
      </c>
      <c r="B10" s="73" t="s">
        <v>67</v>
      </c>
      <c r="C10" s="143" t="s">
        <v>68</v>
      </c>
      <c r="D10" s="143"/>
      <c r="E10" s="130">
        <v>6</v>
      </c>
      <c r="F10" s="144" t="s">
        <v>69</v>
      </c>
      <c r="G10" s="133">
        <v>474.93</v>
      </c>
      <c r="H10" s="132">
        <f t="shared" si="1"/>
        <v>7123.95</v>
      </c>
      <c r="I10" s="131"/>
      <c r="J10" s="145"/>
      <c r="K10" s="144"/>
      <c r="L10" s="131">
        <f t="shared" si="2"/>
        <v>0</v>
      </c>
      <c r="M10" s="133"/>
      <c r="N10" s="144"/>
      <c r="O10" s="132">
        <f t="shared" si="0"/>
        <v>7123.95</v>
      </c>
      <c r="P10" s="146">
        <v>974.49</v>
      </c>
      <c r="Q10" s="145"/>
      <c r="R10" s="147"/>
      <c r="S10" s="147"/>
      <c r="T10" s="145"/>
      <c r="U10" s="144"/>
      <c r="V10" s="132">
        <f t="shared" si="3"/>
        <v>974.49</v>
      </c>
      <c r="W10" s="135">
        <f t="shared" si="4"/>
        <v>6149.46</v>
      </c>
      <c r="X10" s="145"/>
      <c r="Y10" s="145"/>
      <c r="Z10" s="136"/>
    </row>
    <row r="11" spans="1:26" s="137" customFormat="1" ht="11.45" customHeight="1" x14ac:dyDescent="0.3">
      <c r="A11" s="4" t="s">
        <v>24</v>
      </c>
      <c r="B11" s="73" t="s">
        <v>58</v>
      </c>
      <c r="C11" s="73" t="s">
        <v>25</v>
      </c>
      <c r="D11" s="73"/>
      <c r="E11" s="148">
        <v>7</v>
      </c>
      <c r="F11" s="149" t="s">
        <v>239</v>
      </c>
      <c r="G11" s="150">
        <v>166</v>
      </c>
      <c r="H11" s="132">
        <f t="shared" si="1"/>
        <v>2490</v>
      </c>
      <c r="I11" s="131"/>
      <c r="J11" s="149">
        <v>0</v>
      </c>
      <c r="K11" s="149"/>
      <c r="L11" s="131">
        <f t="shared" si="2"/>
        <v>150</v>
      </c>
      <c r="M11" s="150"/>
      <c r="N11" s="149"/>
      <c r="O11" s="132">
        <f t="shared" si="0"/>
        <v>2640</v>
      </c>
      <c r="P11" s="149">
        <v>183.15</v>
      </c>
      <c r="Q11" s="149"/>
      <c r="R11" s="151"/>
      <c r="S11" s="151"/>
      <c r="T11" s="149"/>
      <c r="U11" s="149"/>
      <c r="V11" s="132">
        <f t="shared" si="3"/>
        <v>183.15</v>
      </c>
      <c r="W11" s="135">
        <f t="shared" si="4"/>
        <v>2456.85</v>
      </c>
      <c r="X11" s="133">
        <v>150</v>
      </c>
      <c r="Y11" s="133"/>
      <c r="Z11" s="136"/>
    </row>
    <row r="12" spans="1:26" s="137" customFormat="1" ht="11.45" customHeight="1" x14ac:dyDescent="0.3">
      <c r="A12" s="160"/>
      <c r="B12" s="161"/>
      <c r="C12" s="161"/>
      <c r="D12" s="161"/>
      <c r="E12" s="148">
        <v>8</v>
      </c>
      <c r="F12" s="149" t="s">
        <v>292</v>
      </c>
      <c r="G12" s="150">
        <v>140</v>
      </c>
      <c r="H12" s="132">
        <f t="shared" si="1"/>
        <v>2100</v>
      </c>
      <c r="I12" s="131"/>
      <c r="J12" s="149">
        <v>0</v>
      </c>
      <c r="K12" s="149">
        <f>G12/8*21</f>
        <v>367.5</v>
      </c>
      <c r="L12" s="131">
        <f>Y12+X12</f>
        <v>600</v>
      </c>
      <c r="M12" s="150"/>
      <c r="N12" s="149"/>
      <c r="O12" s="132">
        <f>SUM(H12:N12)</f>
        <v>3067.5</v>
      </c>
      <c r="P12" s="149">
        <v>178.8</v>
      </c>
      <c r="Q12" s="149"/>
      <c r="R12" s="151"/>
      <c r="S12" s="151"/>
      <c r="T12" s="149"/>
      <c r="U12" s="149"/>
      <c r="V12" s="132">
        <f>SUM(P12:U12)</f>
        <v>178.8</v>
      </c>
      <c r="W12" s="135">
        <f>O12-V12</f>
        <v>2888.7</v>
      </c>
      <c r="X12" s="133">
        <v>100</v>
      </c>
      <c r="Y12" s="133">
        <v>500</v>
      </c>
      <c r="Z12" s="136"/>
    </row>
    <row r="13" spans="1:26" s="137" customFormat="1" ht="11.45" customHeight="1" x14ac:dyDescent="0.3">
      <c r="A13" s="3" t="s">
        <v>6</v>
      </c>
      <c r="B13" s="73" t="s">
        <v>58</v>
      </c>
      <c r="C13" s="73" t="s">
        <v>70</v>
      </c>
      <c r="D13" s="73"/>
      <c r="E13" s="130">
        <v>1</v>
      </c>
      <c r="F13" s="132" t="s">
        <v>71</v>
      </c>
      <c r="G13" s="132">
        <v>238.14</v>
      </c>
      <c r="H13" s="132">
        <f t="shared" si="1"/>
        <v>3572.1</v>
      </c>
      <c r="I13" s="131"/>
      <c r="J13" s="132">
        <v>0</v>
      </c>
      <c r="K13" s="132">
        <v>0</v>
      </c>
      <c r="L13" s="131">
        <f t="shared" si="2"/>
        <v>128</v>
      </c>
      <c r="M13" s="132"/>
      <c r="N13" s="132"/>
      <c r="O13" s="132">
        <f t="shared" si="0"/>
        <v>3700.1</v>
      </c>
      <c r="P13" s="131">
        <v>301.10000000000002</v>
      </c>
      <c r="Q13" s="152"/>
      <c r="R13" s="153"/>
      <c r="S13" s="153"/>
      <c r="T13" s="132">
        <v>0</v>
      </c>
      <c r="U13" s="132"/>
      <c r="V13" s="132">
        <f t="shared" si="3"/>
        <v>301.10000000000002</v>
      </c>
      <c r="W13" s="135">
        <f t="shared" si="4"/>
        <v>3399</v>
      </c>
      <c r="X13" s="132">
        <v>128</v>
      </c>
      <c r="Y13" s="132"/>
      <c r="Z13" s="136"/>
    </row>
    <row r="14" spans="1:26" s="137" customFormat="1" ht="11.45" customHeight="1" x14ac:dyDescent="0.3">
      <c r="A14" s="3" t="s">
        <v>6</v>
      </c>
      <c r="B14" s="73" t="s">
        <v>58</v>
      </c>
      <c r="C14" s="73" t="s">
        <v>17</v>
      </c>
      <c r="D14" s="73"/>
      <c r="E14" s="130">
        <v>2</v>
      </c>
      <c r="F14" s="131" t="s">
        <v>72</v>
      </c>
      <c r="G14" s="131">
        <v>138.68</v>
      </c>
      <c r="H14" s="132">
        <f>G14*15</f>
        <v>2080.2000000000003</v>
      </c>
      <c r="I14" s="131"/>
      <c r="J14" s="131"/>
      <c r="K14" s="131"/>
      <c r="L14" s="131">
        <f t="shared" si="2"/>
        <v>578</v>
      </c>
      <c r="M14" s="132"/>
      <c r="N14" s="132"/>
      <c r="O14" s="132">
        <f t="shared" si="0"/>
        <v>2658.2000000000003</v>
      </c>
      <c r="P14" s="131">
        <v>185.13</v>
      </c>
      <c r="Q14" s="133"/>
      <c r="R14" s="134">
        <v>50</v>
      </c>
      <c r="S14" s="134"/>
      <c r="T14" s="131"/>
      <c r="U14" s="131"/>
      <c r="V14" s="132">
        <f t="shared" si="3"/>
        <v>235.13</v>
      </c>
      <c r="W14" s="135">
        <f t="shared" si="4"/>
        <v>2423.0700000000002</v>
      </c>
      <c r="X14" s="131">
        <v>128</v>
      </c>
      <c r="Y14" s="131">
        <f>3*150</f>
        <v>450</v>
      </c>
      <c r="Z14" s="136"/>
    </row>
    <row r="15" spans="1:26" s="137" customFormat="1" ht="11.45" customHeight="1" x14ac:dyDescent="0.3">
      <c r="A15" s="4" t="s">
        <v>6</v>
      </c>
      <c r="B15" s="73" t="s">
        <v>58</v>
      </c>
      <c r="C15" s="73" t="s">
        <v>73</v>
      </c>
      <c r="D15" s="73"/>
      <c r="E15" s="130">
        <v>3</v>
      </c>
      <c r="F15" s="131" t="s">
        <v>74</v>
      </c>
      <c r="G15" s="131">
        <v>238.14</v>
      </c>
      <c r="H15" s="132">
        <f t="shared" si="1"/>
        <v>3572.1</v>
      </c>
      <c r="I15" s="131"/>
      <c r="J15" s="131">
        <v>0</v>
      </c>
      <c r="K15" s="131"/>
      <c r="L15" s="131">
        <f t="shared" si="2"/>
        <v>128</v>
      </c>
      <c r="M15" s="132"/>
      <c r="N15" s="132"/>
      <c r="O15" s="132">
        <f t="shared" si="0"/>
        <v>3700.1</v>
      </c>
      <c r="P15" s="131">
        <v>301.10000000000002</v>
      </c>
      <c r="Q15" s="133">
        <v>500</v>
      </c>
      <c r="R15" s="134"/>
      <c r="S15" s="134"/>
      <c r="T15" s="131"/>
      <c r="U15" s="131"/>
      <c r="V15" s="132">
        <f t="shared" si="3"/>
        <v>801.1</v>
      </c>
      <c r="W15" s="135">
        <f t="shared" si="4"/>
        <v>2899</v>
      </c>
      <c r="X15" s="131">
        <v>128</v>
      </c>
      <c r="Y15" s="131"/>
      <c r="Z15" s="136"/>
    </row>
    <row r="16" spans="1:26" s="137" customFormat="1" ht="11.45" customHeight="1" x14ac:dyDescent="0.3">
      <c r="A16" s="4" t="s">
        <v>6</v>
      </c>
      <c r="B16" s="73" t="s">
        <v>58</v>
      </c>
      <c r="C16" s="73" t="s">
        <v>75</v>
      </c>
      <c r="D16" s="73"/>
      <c r="E16" s="130">
        <v>4</v>
      </c>
      <c r="F16" s="131" t="s">
        <v>76</v>
      </c>
      <c r="G16" s="131">
        <v>695.4</v>
      </c>
      <c r="H16" s="132">
        <f t="shared" si="1"/>
        <v>10431</v>
      </c>
      <c r="I16" s="131"/>
      <c r="J16" s="131"/>
      <c r="K16" s="131"/>
      <c r="L16" s="131">
        <f t="shared" si="2"/>
        <v>0</v>
      </c>
      <c r="M16" s="132">
        <f>G16*12</f>
        <v>8344.7999999999993</v>
      </c>
      <c r="N16" s="132">
        <f>M16*0.25</f>
        <v>2086.1999999999998</v>
      </c>
      <c r="O16" s="132">
        <f t="shared" si="0"/>
        <v>20862</v>
      </c>
      <c r="P16" s="131">
        <f>1684.61+1118.94</f>
        <v>2803.55</v>
      </c>
      <c r="Q16" s="132"/>
      <c r="R16" s="134"/>
      <c r="S16" s="134"/>
      <c r="T16" s="131"/>
      <c r="U16" s="131"/>
      <c r="V16" s="132">
        <f t="shared" si="3"/>
        <v>2803.55</v>
      </c>
      <c r="W16" s="135">
        <f t="shared" si="4"/>
        <v>18058.45</v>
      </c>
      <c r="X16" s="131"/>
      <c r="Y16" s="131"/>
      <c r="Z16" s="136"/>
    </row>
    <row r="17" spans="1:26" s="137" customFormat="1" ht="11.45" customHeight="1" x14ac:dyDescent="0.3">
      <c r="A17" s="3" t="s">
        <v>6</v>
      </c>
      <c r="B17" s="73" t="s">
        <v>58</v>
      </c>
      <c r="C17" s="73" t="s">
        <v>17</v>
      </c>
      <c r="D17" s="73"/>
      <c r="E17" s="130">
        <v>5</v>
      </c>
      <c r="F17" s="139" t="s">
        <v>77</v>
      </c>
      <c r="G17" s="131">
        <v>160.80000000000001</v>
      </c>
      <c r="H17" s="132">
        <f t="shared" si="1"/>
        <v>2412</v>
      </c>
      <c r="I17" s="131"/>
      <c r="J17" s="131"/>
      <c r="K17" s="131"/>
      <c r="L17" s="131">
        <f t="shared" si="2"/>
        <v>2150</v>
      </c>
      <c r="M17" s="132"/>
      <c r="N17" s="132">
        <v>0</v>
      </c>
      <c r="O17" s="132">
        <f t="shared" si="0"/>
        <v>4562</v>
      </c>
      <c r="P17" s="131">
        <v>445.05</v>
      </c>
      <c r="Q17" s="132"/>
      <c r="R17" s="134">
        <v>37.5</v>
      </c>
      <c r="S17" s="134"/>
      <c r="T17" s="131"/>
      <c r="U17" s="131"/>
      <c r="V17" s="132">
        <f t="shared" si="3"/>
        <v>482.55</v>
      </c>
      <c r="W17" s="135">
        <f t="shared" si="4"/>
        <v>4079.45</v>
      </c>
      <c r="X17" s="131">
        <v>950</v>
      </c>
      <c r="Y17" s="131">
        <v>1200</v>
      </c>
      <c r="Z17" s="136"/>
    </row>
    <row r="18" spans="1:26" s="137" customFormat="1" ht="11.45" customHeight="1" x14ac:dyDescent="0.3">
      <c r="A18" s="6" t="s">
        <v>6</v>
      </c>
      <c r="B18" s="73" t="s">
        <v>58</v>
      </c>
      <c r="C18" s="154" t="s">
        <v>78</v>
      </c>
      <c r="D18" s="154"/>
      <c r="E18" s="155">
        <v>6</v>
      </c>
      <c r="F18" s="139" t="s">
        <v>79</v>
      </c>
      <c r="G18" s="139">
        <v>121.34</v>
      </c>
      <c r="H18" s="132">
        <f t="shared" si="1"/>
        <v>1820.1000000000001</v>
      </c>
      <c r="I18" s="131"/>
      <c r="J18" s="139"/>
      <c r="K18" s="139">
        <f>G18*4</f>
        <v>485.36</v>
      </c>
      <c r="L18" s="131">
        <f t="shared" si="2"/>
        <v>380</v>
      </c>
      <c r="M18" s="132"/>
      <c r="N18" s="132"/>
      <c r="O18" s="132">
        <f t="shared" si="0"/>
        <v>2685.46</v>
      </c>
      <c r="P18" s="139">
        <v>188.04</v>
      </c>
      <c r="Q18" s="133"/>
      <c r="R18" s="156"/>
      <c r="S18" s="156"/>
      <c r="T18" s="139"/>
      <c r="U18" s="139"/>
      <c r="V18" s="132">
        <f t="shared" si="3"/>
        <v>188.04</v>
      </c>
      <c r="W18" s="135">
        <f t="shared" si="4"/>
        <v>2497.42</v>
      </c>
      <c r="X18" s="139">
        <v>380</v>
      </c>
      <c r="Y18" s="139"/>
      <c r="Z18" s="136"/>
    </row>
    <row r="19" spans="1:26" s="137" customFormat="1" ht="11.45" customHeight="1" x14ac:dyDescent="0.3">
      <c r="A19" s="4" t="s">
        <v>6</v>
      </c>
      <c r="B19" s="73" t="s">
        <v>58</v>
      </c>
      <c r="C19" s="73" t="s">
        <v>9</v>
      </c>
      <c r="D19" s="73"/>
      <c r="E19" s="130">
        <v>7</v>
      </c>
      <c r="F19" s="133" t="s">
        <v>80</v>
      </c>
      <c r="G19" s="133">
        <v>156</v>
      </c>
      <c r="H19" s="132">
        <f t="shared" si="1"/>
        <v>2340</v>
      </c>
      <c r="I19" s="131"/>
      <c r="J19" s="133"/>
      <c r="K19" s="133">
        <f>G19*5</f>
        <v>780</v>
      </c>
      <c r="L19" s="131">
        <f t="shared" si="2"/>
        <v>180</v>
      </c>
      <c r="M19" s="132"/>
      <c r="N19" s="132"/>
      <c r="O19" s="132">
        <f t="shared" si="0"/>
        <v>3300</v>
      </c>
      <c r="P19" s="139">
        <v>254.96</v>
      </c>
      <c r="Q19" s="133"/>
      <c r="R19" s="141"/>
      <c r="S19" s="141"/>
      <c r="T19" s="133"/>
      <c r="U19" s="133"/>
      <c r="V19" s="132">
        <f t="shared" si="3"/>
        <v>254.96</v>
      </c>
      <c r="W19" s="135">
        <f t="shared" si="4"/>
        <v>3045.04</v>
      </c>
      <c r="X19" s="133">
        <v>180</v>
      </c>
      <c r="Y19" s="133"/>
      <c r="Z19" s="136"/>
    </row>
    <row r="20" spans="1:26" s="137" customFormat="1" ht="11.45" customHeight="1" x14ac:dyDescent="0.3">
      <c r="A20" s="4" t="s">
        <v>6</v>
      </c>
      <c r="B20" s="73" t="s">
        <v>58</v>
      </c>
      <c r="C20" s="73" t="s">
        <v>17</v>
      </c>
      <c r="D20" s="73"/>
      <c r="E20" s="130">
        <v>8</v>
      </c>
      <c r="F20" s="133" t="s">
        <v>81</v>
      </c>
      <c r="G20" s="157">
        <v>104</v>
      </c>
      <c r="H20" s="132">
        <f>G20*14</f>
        <v>1456</v>
      </c>
      <c r="I20" s="131"/>
      <c r="J20" s="157"/>
      <c r="K20" s="157"/>
      <c r="L20" s="131">
        <f t="shared" si="2"/>
        <v>110</v>
      </c>
      <c r="M20" s="157"/>
      <c r="N20" s="157">
        <v>0</v>
      </c>
      <c r="O20" s="132">
        <f t="shared" si="0"/>
        <v>1566</v>
      </c>
      <c r="P20" s="144">
        <v>89.21</v>
      </c>
      <c r="Q20" s="157">
        <v>0</v>
      </c>
      <c r="R20" s="158"/>
      <c r="S20" s="158"/>
      <c r="T20" s="157"/>
      <c r="U20" s="157"/>
      <c r="V20" s="132">
        <f t="shared" si="3"/>
        <v>89.21</v>
      </c>
      <c r="W20" s="135">
        <f t="shared" si="4"/>
        <v>1476.79</v>
      </c>
      <c r="X20" s="133">
        <v>110</v>
      </c>
      <c r="Y20" s="133"/>
      <c r="Z20" s="136"/>
    </row>
    <row r="21" spans="1:26" s="137" customFormat="1" ht="11.45" customHeight="1" x14ac:dyDescent="0.3">
      <c r="A21" s="4" t="s">
        <v>11</v>
      </c>
      <c r="B21" s="73" t="s">
        <v>58</v>
      </c>
      <c r="C21" s="73" t="s">
        <v>12</v>
      </c>
      <c r="D21" s="73"/>
      <c r="E21" s="130">
        <v>1</v>
      </c>
      <c r="F21" s="133" t="s">
        <v>82</v>
      </c>
      <c r="G21" s="132">
        <v>194.8</v>
      </c>
      <c r="H21" s="132">
        <f t="shared" si="1"/>
        <v>2922</v>
      </c>
      <c r="I21" s="131"/>
      <c r="J21" s="133"/>
      <c r="K21" s="133">
        <f>G21*4</f>
        <v>779.2</v>
      </c>
      <c r="L21" s="131">
        <f>Y21+X21</f>
        <v>665</v>
      </c>
      <c r="M21" s="132"/>
      <c r="N21" s="132"/>
      <c r="O21" s="132">
        <f t="shared" si="0"/>
        <v>4366.2</v>
      </c>
      <c r="P21" s="131">
        <v>409.93</v>
      </c>
      <c r="Q21" s="133">
        <v>500</v>
      </c>
      <c r="R21" s="141"/>
      <c r="S21" s="141"/>
      <c r="T21" s="133"/>
      <c r="U21" s="133"/>
      <c r="V21" s="132">
        <f t="shared" si="3"/>
        <v>909.93000000000006</v>
      </c>
      <c r="W21" s="135">
        <f t="shared" si="4"/>
        <v>3456.2699999999995</v>
      </c>
      <c r="X21" s="133">
        <v>165</v>
      </c>
      <c r="Y21" s="133">
        <v>500</v>
      </c>
      <c r="Z21" s="136"/>
    </row>
    <row r="22" spans="1:26" s="137" customFormat="1" ht="11.45" customHeight="1" x14ac:dyDescent="0.3">
      <c r="A22" s="4" t="s">
        <v>11</v>
      </c>
      <c r="B22" s="73" t="s">
        <v>67</v>
      </c>
      <c r="C22" s="73" t="s">
        <v>83</v>
      </c>
      <c r="D22" s="73"/>
      <c r="E22" s="130">
        <v>2</v>
      </c>
      <c r="F22" s="139" t="s">
        <v>84</v>
      </c>
      <c r="G22" s="132">
        <v>605</v>
      </c>
      <c r="H22" s="132">
        <f t="shared" si="1"/>
        <v>9075</v>
      </c>
      <c r="I22" s="131"/>
      <c r="J22" s="131"/>
      <c r="K22" s="139"/>
      <c r="L22" s="131">
        <v>400</v>
      </c>
      <c r="M22" s="132"/>
      <c r="N22" s="139"/>
      <c r="O22" s="132">
        <f t="shared" si="0"/>
        <v>9475</v>
      </c>
      <c r="P22" s="132">
        <v>1476.77</v>
      </c>
      <c r="Q22" s="131"/>
      <c r="R22" s="134">
        <v>237.12</v>
      </c>
      <c r="S22" s="134"/>
      <c r="T22" s="131"/>
      <c r="U22" s="139"/>
      <c r="V22" s="132">
        <f t="shared" si="3"/>
        <v>1713.8899999999999</v>
      </c>
      <c r="W22" s="135">
        <f t="shared" si="4"/>
        <v>7761.1100000000006</v>
      </c>
      <c r="X22" s="131"/>
      <c r="Y22" s="131"/>
      <c r="Z22" s="136"/>
    </row>
    <row r="23" spans="1:26" s="137" customFormat="1" ht="11.45" customHeight="1" x14ac:dyDescent="0.3">
      <c r="A23" s="160"/>
      <c r="B23" s="161"/>
      <c r="C23" s="161"/>
      <c r="D23" s="161"/>
      <c r="E23" s="148">
        <v>3</v>
      </c>
      <c r="F23" s="149" t="s">
        <v>132</v>
      </c>
      <c r="G23" s="150">
        <v>300</v>
      </c>
      <c r="H23" s="132">
        <f t="shared" si="1"/>
        <v>4500</v>
      </c>
      <c r="I23" s="131"/>
      <c r="J23" s="150"/>
      <c r="K23" s="149"/>
      <c r="L23" s="131">
        <f t="shared" si="2"/>
        <v>0</v>
      </c>
      <c r="M23" s="150"/>
      <c r="N23" s="149"/>
      <c r="O23" s="132">
        <f t="shared" si="0"/>
        <v>4500</v>
      </c>
      <c r="P23" s="150">
        <v>433.91</v>
      </c>
      <c r="Q23" s="150"/>
      <c r="R23" s="162"/>
      <c r="S23" s="162"/>
      <c r="T23" s="150"/>
      <c r="U23" s="149"/>
      <c r="V23" s="132">
        <f t="shared" si="3"/>
        <v>433.91</v>
      </c>
      <c r="W23" s="135">
        <f t="shared" si="4"/>
        <v>4066.09</v>
      </c>
      <c r="X23" s="150"/>
      <c r="Y23" s="150"/>
      <c r="Z23" s="136"/>
    </row>
    <row r="24" spans="1:26" s="137" customFormat="1" ht="11.45" customHeight="1" x14ac:dyDescent="0.3">
      <c r="A24" s="4" t="s">
        <v>14</v>
      </c>
      <c r="B24" s="73" t="s">
        <v>85</v>
      </c>
      <c r="C24" s="73" t="s">
        <v>78</v>
      </c>
      <c r="D24" s="73"/>
      <c r="E24" s="130">
        <v>1</v>
      </c>
      <c r="F24" s="131" t="s">
        <v>86</v>
      </c>
      <c r="G24" s="139">
        <v>200.7</v>
      </c>
      <c r="H24" s="132">
        <f t="shared" si="1"/>
        <v>3010.5</v>
      </c>
      <c r="I24" s="131"/>
      <c r="J24" s="139">
        <f>G24*1</f>
        <v>200.7</v>
      </c>
      <c r="K24" s="139">
        <f>G24/8*21</f>
        <v>526.83749999999998</v>
      </c>
      <c r="L24" s="131">
        <f t="shared" si="2"/>
        <v>1100</v>
      </c>
      <c r="M24" s="133"/>
      <c r="N24" s="133"/>
      <c r="O24" s="132">
        <f t="shared" si="0"/>
        <v>4838.0375000000004</v>
      </c>
      <c r="P24" s="139">
        <v>494.48</v>
      </c>
      <c r="Q24" s="133"/>
      <c r="R24" s="156"/>
      <c r="S24" s="156"/>
      <c r="T24" s="139">
        <v>0</v>
      </c>
      <c r="U24" s="139">
        <v>28.05</v>
      </c>
      <c r="V24" s="132">
        <f t="shared" si="3"/>
        <v>522.53</v>
      </c>
      <c r="W24" s="135">
        <f t="shared" si="4"/>
        <v>4315.5075000000006</v>
      </c>
      <c r="X24" s="139">
        <v>1100</v>
      </c>
      <c r="Y24" s="139"/>
      <c r="Z24" s="136"/>
    </row>
    <row r="25" spans="1:26" s="137" customFormat="1" ht="11.45" customHeight="1" x14ac:dyDescent="0.3">
      <c r="A25" s="4" t="s">
        <v>14</v>
      </c>
      <c r="B25" s="73" t="s">
        <v>58</v>
      </c>
      <c r="C25" s="73" t="s">
        <v>17</v>
      </c>
      <c r="D25" s="73"/>
      <c r="E25" s="130">
        <v>2</v>
      </c>
      <c r="F25" s="133" t="s">
        <v>87</v>
      </c>
      <c r="G25" s="133">
        <v>104</v>
      </c>
      <c r="H25" s="132">
        <f>G25*14</f>
        <v>1456</v>
      </c>
      <c r="I25" s="131"/>
      <c r="J25" s="133"/>
      <c r="K25" s="133">
        <v>0</v>
      </c>
      <c r="L25" s="131">
        <f t="shared" si="2"/>
        <v>100</v>
      </c>
      <c r="M25" s="133"/>
      <c r="N25" s="133"/>
      <c r="O25" s="132">
        <f t="shared" si="0"/>
        <v>1556</v>
      </c>
      <c r="P25" s="139">
        <v>88.57</v>
      </c>
      <c r="Q25" s="133"/>
      <c r="R25" s="141"/>
      <c r="S25" s="141"/>
      <c r="T25" s="133"/>
      <c r="U25" s="133"/>
      <c r="V25" s="132">
        <f t="shared" si="3"/>
        <v>88.57</v>
      </c>
      <c r="W25" s="135">
        <f t="shared" si="4"/>
        <v>1467.43</v>
      </c>
      <c r="X25" s="133">
        <v>100</v>
      </c>
      <c r="Y25" s="133"/>
      <c r="Z25" s="136"/>
    </row>
    <row r="26" spans="1:26" s="137" customFormat="1" ht="11.45" customHeight="1" x14ac:dyDescent="0.3">
      <c r="A26" s="4" t="s">
        <v>24</v>
      </c>
      <c r="B26" s="73" t="s">
        <v>58</v>
      </c>
      <c r="C26" s="73" t="s">
        <v>118</v>
      </c>
      <c r="D26" s="73"/>
      <c r="E26" s="130">
        <v>3</v>
      </c>
      <c r="F26" s="139" t="s">
        <v>232</v>
      </c>
      <c r="G26" s="139">
        <v>104</v>
      </c>
      <c r="H26" s="132">
        <f>G26*14</f>
        <v>1456</v>
      </c>
      <c r="I26" s="131"/>
      <c r="J26" s="139"/>
      <c r="K26" s="139"/>
      <c r="L26" s="131">
        <f t="shared" si="2"/>
        <v>1050</v>
      </c>
      <c r="M26" s="139"/>
      <c r="N26" s="139"/>
      <c r="O26" s="132">
        <f t="shared" si="0"/>
        <v>2506</v>
      </c>
      <c r="P26" s="133">
        <v>168.57</v>
      </c>
      <c r="Q26" s="139"/>
      <c r="R26" s="156"/>
      <c r="S26" s="156"/>
      <c r="T26" s="139"/>
      <c r="U26" s="139"/>
      <c r="V26" s="132">
        <f t="shared" si="3"/>
        <v>168.57</v>
      </c>
      <c r="W26" s="135">
        <f t="shared" si="4"/>
        <v>2337.4299999999998</v>
      </c>
      <c r="X26" s="133">
        <v>100</v>
      </c>
      <c r="Y26" s="139">
        <v>950</v>
      </c>
      <c r="Z26" s="136"/>
    </row>
    <row r="27" spans="1:26" s="137" customFormat="1" ht="11.45" customHeight="1" x14ac:dyDescent="0.3">
      <c r="A27" s="4" t="s">
        <v>14</v>
      </c>
      <c r="B27" s="73" t="s">
        <v>58</v>
      </c>
      <c r="C27" s="73" t="s">
        <v>17</v>
      </c>
      <c r="D27" s="73"/>
      <c r="E27" s="130">
        <v>4</v>
      </c>
      <c r="F27" s="163" t="s">
        <v>241</v>
      </c>
      <c r="G27" s="141">
        <v>124.66</v>
      </c>
      <c r="H27" s="132">
        <f t="shared" si="1"/>
        <v>1869.8999999999999</v>
      </c>
      <c r="I27" s="131"/>
      <c r="J27" s="133"/>
      <c r="K27" s="133"/>
      <c r="L27" s="131">
        <f t="shared" si="2"/>
        <v>1150</v>
      </c>
      <c r="M27" s="133"/>
      <c r="N27" s="133"/>
      <c r="O27" s="132">
        <f t="shared" si="0"/>
        <v>3019.8999999999996</v>
      </c>
      <c r="P27" s="139">
        <v>224.48</v>
      </c>
      <c r="Q27" s="133"/>
      <c r="R27" s="141"/>
      <c r="S27" s="141"/>
      <c r="T27" s="133"/>
      <c r="U27" s="133"/>
      <c r="V27" s="132">
        <f t="shared" si="3"/>
        <v>224.48</v>
      </c>
      <c r="W27" s="135">
        <f t="shared" si="4"/>
        <v>2795.4199999999996</v>
      </c>
      <c r="X27" s="133">
        <v>250</v>
      </c>
      <c r="Y27" s="133">
        <v>900</v>
      </c>
      <c r="Z27" s="136"/>
    </row>
    <row r="28" spans="1:26" s="137" customFormat="1" ht="11.45" customHeight="1" x14ac:dyDescent="0.3">
      <c r="A28" s="4" t="s">
        <v>14</v>
      </c>
      <c r="B28" s="73" t="s">
        <v>58</v>
      </c>
      <c r="C28" s="73" t="s">
        <v>17</v>
      </c>
      <c r="D28" s="73"/>
      <c r="E28" s="130">
        <v>5</v>
      </c>
      <c r="F28" s="163" t="s">
        <v>88</v>
      </c>
      <c r="G28" s="141">
        <v>124.66</v>
      </c>
      <c r="H28" s="132">
        <f t="shared" si="1"/>
        <v>1869.8999999999999</v>
      </c>
      <c r="I28" s="131"/>
      <c r="J28" s="133"/>
      <c r="K28" s="133">
        <f>G28*7</f>
        <v>872.62</v>
      </c>
      <c r="L28" s="131">
        <f t="shared" si="2"/>
        <v>850</v>
      </c>
      <c r="M28" s="133"/>
      <c r="N28" s="133"/>
      <c r="O28" s="132">
        <f t="shared" si="0"/>
        <v>3592.52</v>
      </c>
      <c r="P28" s="139">
        <v>179.33</v>
      </c>
      <c r="Q28" s="133">
        <v>0.45</v>
      </c>
      <c r="R28" s="141"/>
      <c r="S28" s="141"/>
      <c r="T28" s="133"/>
      <c r="U28" s="133"/>
      <c r="V28" s="132">
        <f t="shared" si="3"/>
        <v>179.78</v>
      </c>
      <c r="W28" s="135">
        <f t="shared" si="4"/>
        <v>3412.74</v>
      </c>
      <c r="X28" s="133">
        <v>850</v>
      </c>
      <c r="Y28" s="133"/>
      <c r="Z28" s="136"/>
    </row>
    <row r="29" spans="1:26" s="137" customFormat="1" ht="11.45" customHeight="1" x14ac:dyDescent="0.3">
      <c r="A29" s="4" t="s">
        <v>14</v>
      </c>
      <c r="B29" s="73" t="s">
        <v>58</v>
      </c>
      <c r="C29" s="73" t="s">
        <v>17</v>
      </c>
      <c r="D29" s="73"/>
      <c r="E29" s="130">
        <v>6</v>
      </c>
      <c r="F29" s="163" t="s">
        <v>89</v>
      </c>
      <c r="G29" s="141">
        <v>104</v>
      </c>
      <c r="H29" s="132">
        <f t="shared" si="1"/>
        <v>1560</v>
      </c>
      <c r="I29" s="131"/>
      <c r="J29" s="133"/>
      <c r="K29" s="164">
        <f>G29*10</f>
        <v>1040</v>
      </c>
      <c r="L29" s="131">
        <f t="shared" si="2"/>
        <v>1650</v>
      </c>
      <c r="M29" s="133"/>
      <c r="N29" s="133"/>
      <c r="O29" s="132">
        <f t="shared" si="0"/>
        <v>4250</v>
      </c>
      <c r="P29" s="139">
        <v>398.11</v>
      </c>
      <c r="Q29" s="133"/>
      <c r="R29" s="141"/>
      <c r="S29" s="141"/>
      <c r="T29" s="133"/>
      <c r="U29" s="133"/>
      <c r="V29" s="132">
        <f t="shared" si="3"/>
        <v>398.11</v>
      </c>
      <c r="W29" s="135">
        <f t="shared" si="4"/>
        <v>3851.89</v>
      </c>
      <c r="X29" s="133">
        <v>600</v>
      </c>
      <c r="Y29" s="133">
        <v>1050</v>
      </c>
      <c r="Z29" s="136"/>
    </row>
    <row r="30" spans="1:26" s="137" customFormat="1" ht="11.45" customHeight="1" x14ac:dyDescent="0.3">
      <c r="A30" s="4" t="s">
        <v>14</v>
      </c>
      <c r="B30" s="73" t="s">
        <v>58</v>
      </c>
      <c r="C30" s="73" t="s">
        <v>17</v>
      </c>
      <c r="D30" s="73"/>
      <c r="E30" s="130">
        <v>7</v>
      </c>
      <c r="F30" s="165" t="s">
        <v>90</v>
      </c>
      <c r="G30" s="141">
        <v>104</v>
      </c>
      <c r="H30" s="132">
        <f t="shared" si="1"/>
        <v>1560</v>
      </c>
      <c r="I30" s="131"/>
      <c r="J30" s="133"/>
      <c r="K30" s="133"/>
      <c r="L30" s="131">
        <f t="shared" si="2"/>
        <v>1450</v>
      </c>
      <c r="M30" s="133"/>
      <c r="N30" s="133"/>
      <c r="O30" s="132">
        <f t="shared" si="0"/>
        <v>3010</v>
      </c>
      <c r="P30" s="139">
        <v>223.4</v>
      </c>
      <c r="Q30" s="133"/>
      <c r="R30" s="141"/>
      <c r="S30" s="141"/>
      <c r="T30" s="133"/>
      <c r="U30" s="133"/>
      <c r="V30" s="132">
        <f t="shared" si="3"/>
        <v>223.4</v>
      </c>
      <c r="W30" s="135">
        <f t="shared" si="4"/>
        <v>2786.6</v>
      </c>
      <c r="X30" s="133">
        <v>100</v>
      </c>
      <c r="Y30" s="133">
        <f>150*9</f>
        <v>1350</v>
      </c>
      <c r="Z30" s="136"/>
    </row>
    <row r="31" spans="1:26" s="137" customFormat="1" ht="11.45" customHeight="1" x14ac:dyDescent="0.3">
      <c r="A31" s="4" t="s">
        <v>14</v>
      </c>
      <c r="B31" s="73" t="s">
        <v>58</v>
      </c>
      <c r="C31" s="73" t="s">
        <v>17</v>
      </c>
      <c r="D31" s="73"/>
      <c r="E31" s="130">
        <v>8</v>
      </c>
      <c r="F31" s="165" t="s">
        <v>91</v>
      </c>
      <c r="G31" s="141">
        <v>104</v>
      </c>
      <c r="H31" s="132">
        <f t="shared" si="1"/>
        <v>1560</v>
      </c>
      <c r="I31" s="131"/>
      <c r="K31" s="133">
        <f>G31*6</f>
        <v>624</v>
      </c>
      <c r="L31" s="131">
        <f t="shared" si="2"/>
        <v>700</v>
      </c>
      <c r="M31" s="133"/>
      <c r="N31" s="133"/>
      <c r="O31" s="132">
        <f t="shared" si="0"/>
        <v>2884</v>
      </c>
      <c r="P31" s="139">
        <v>209.7</v>
      </c>
      <c r="Q31" s="133"/>
      <c r="R31" s="141"/>
      <c r="S31" s="141"/>
      <c r="T31" s="133"/>
      <c r="U31" s="133"/>
      <c r="V31" s="132">
        <f t="shared" si="3"/>
        <v>209.7</v>
      </c>
      <c r="W31" s="135">
        <f t="shared" si="4"/>
        <v>2674.3</v>
      </c>
      <c r="X31" s="133">
        <v>100</v>
      </c>
      <c r="Y31" s="133">
        <f>150*4</f>
        <v>600</v>
      </c>
      <c r="Z31" s="136"/>
    </row>
    <row r="32" spans="1:26" s="137" customFormat="1" ht="11.45" customHeight="1" x14ac:dyDescent="0.3">
      <c r="A32" s="4" t="s">
        <v>14</v>
      </c>
      <c r="B32" s="73" t="s">
        <v>58</v>
      </c>
      <c r="C32" s="73" t="s">
        <v>17</v>
      </c>
      <c r="D32" s="73"/>
      <c r="E32" s="130">
        <v>9</v>
      </c>
      <c r="F32" s="139" t="s">
        <v>92</v>
      </c>
      <c r="G32" s="133">
        <v>104</v>
      </c>
      <c r="H32" s="132">
        <f t="shared" si="1"/>
        <v>1560</v>
      </c>
      <c r="I32" s="131"/>
      <c r="J32" s="139"/>
      <c r="K32" s="139"/>
      <c r="L32" s="131">
        <f t="shared" si="2"/>
        <v>400</v>
      </c>
      <c r="M32" s="133"/>
      <c r="N32" s="139"/>
      <c r="O32" s="132">
        <f t="shared" si="0"/>
        <v>1960</v>
      </c>
      <c r="P32" s="133">
        <v>114.42</v>
      </c>
      <c r="Q32" s="139"/>
      <c r="R32" s="156"/>
      <c r="S32" s="156"/>
      <c r="T32" s="139"/>
      <c r="U32" s="139"/>
      <c r="V32" s="132">
        <f t="shared" si="3"/>
        <v>114.42</v>
      </c>
      <c r="W32" s="135">
        <f t="shared" si="4"/>
        <v>1845.58</v>
      </c>
      <c r="X32" s="133">
        <v>100</v>
      </c>
      <c r="Y32" s="4">
        <v>300</v>
      </c>
      <c r="Z32" s="136"/>
    </row>
    <row r="33" spans="1:26" s="137" customFormat="1" ht="11.45" customHeight="1" x14ac:dyDescent="0.3">
      <c r="A33" s="4" t="s">
        <v>14</v>
      </c>
      <c r="B33" s="73" t="s">
        <v>58</v>
      </c>
      <c r="C33" s="73" t="s">
        <v>78</v>
      </c>
      <c r="D33" s="73"/>
      <c r="E33" s="130">
        <v>10</v>
      </c>
      <c r="F33" s="133" t="s">
        <v>93</v>
      </c>
      <c r="G33" s="133">
        <v>150</v>
      </c>
      <c r="H33" s="132">
        <f t="shared" si="1"/>
        <v>2250</v>
      </c>
      <c r="I33" s="131"/>
      <c r="J33" s="133"/>
      <c r="K33" s="133">
        <f>G33/8*21</f>
        <v>393.75</v>
      </c>
      <c r="L33" s="131">
        <f t="shared" si="2"/>
        <v>400</v>
      </c>
      <c r="M33" s="133"/>
      <c r="N33" s="139"/>
      <c r="O33" s="132">
        <f t="shared" si="0"/>
        <v>3043.75</v>
      </c>
      <c r="P33" s="133">
        <v>227.08</v>
      </c>
      <c r="Q33" s="139"/>
      <c r="R33" s="156"/>
      <c r="S33" s="156"/>
      <c r="T33" s="139"/>
      <c r="U33" s="139"/>
      <c r="V33" s="132">
        <f t="shared" si="3"/>
        <v>227.08</v>
      </c>
      <c r="W33" s="135">
        <f t="shared" si="4"/>
        <v>2816.67</v>
      </c>
      <c r="X33" s="133">
        <v>400</v>
      </c>
      <c r="Y33" s="4"/>
      <c r="Z33" s="136"/>
    </row>
    <row r="34" spans="1:26" s="137" customFormat="1" ht="11.45" customHeight="1" x14ac:dyDescent="0.3">
      <c r="A34" s="4" t="s">
        <v>14</v>
      </c>
      <c r="B34" s="73" t="s">
        <v>58</v>
      </c>
      <c r="C34" s="73"/>
      <c r="D34" s="73"/>
      <c r="E34" s="148">
        <v>11</v>
      </c>
      <c r="F34" s="149" t="s">
        <v>133</v>
      </c>
      <c r="G34" s="132">
        <v>104</v>
      </c>
      <c r="H34" s="132">
        <f t="shared" si="1"/>
        <v>1560</v>
      </c>
      <c r="I34" s="131"/>
      <c r="J34" s="133"/>
      <c r="K34" s="133"/>
      <c r="L34" s="131">
        <f t="shared" si="2"/>
        <v>1150</v>
      </c>
      <c r="M34" s="132"/>
      <c r="N34" s="139"/>
      <c r="O34" s="132">
        <f t="shared" si="0"/>
        <v>2710</v>
      </c>
      <c r="P34" s="132">
        <v>190.76</v>
      </c>
      <c r="Q34" s="131"/>
      <c r="R34" s="134"/>
      <c r="S34" s="134"/>
      <c r="T34" s="131"/>
      <c r="U34" s="139"/>
      <c r="V34" s="132">
        <f t="shared" si="3"/>
        <v>190.76</v>
      </c>
      <c r="W34" s="135">
        <f t="shared" si="4"/>
        <v>2519.2399999999998</v>
      </c>
      <c r="X34" s="133">
        <v>100</v>
      </c>
      <c r="Y34" s="4">
        <v>1050</v>
      </c>
      <c r="Z34" s="136"/>
    </row>
    <row r="35" spans="1:26" s="137" customFormat="1" ht="11.45" customHeight="1" x14ac:dyDescent="0.3">
      <c r="A35" s="4" t="s">
        <v>14</v>
      </c>
      <c r="B35" s="73" t="s">
        <v>58</v>
      </c>
      <c r="C35" s="73"/>
      <c r="D35" s="73"/>
      <c r="E35" s="148">
        <v>12</v>
      </c>
      <c r="F35" s="149" t="s">
        <v>134</v>
      </c>
      <c r="G35" s="150">
        <v>104</v>
      </c>
      <c r="H35" s="132">
        <f t="shared" si="1"/>
        <v>1560</v>
      </c>
      <c r="I35" s="131"/>
      <c r="J35" s="149"/>
      <c r="K35" s="149"/>
      <c r="L35" s="131">
        <f t="shared" si="2"/>
        <v>1150</v>
      </c>
      <c r="M35" s="150"/>
      <c r="N35" s="149"/>
      <c r="O35" s="132">
        <f t="shared" si="0"/>
        <v>2710</v>
      </c>
      <c r="P35" s="150">
        <v>190.76</v>
      </c>
      <c r="Q35" s="150"/>
      <c r="R35" s="162"/>
      <c r="S35" s="162"/>
      <c r="T35" s="150"/>
      <c r="U35" s="149"/>
      <c r="V35" s="132">
        <f t="shared" si="3"/>
        <v>190.76</v>
      </c>
      <c r="W35" s="135">
        <f t="shared" si="4"/>
        <v>2519.2399999999998</v>
      </c>
      <c r="X35" s="149">
        <v>100</v>
      </c>
      <c r="Y35" s="4">
        <v>1050</v>
      </c>
      <c r="Z35" s="136"/>
    </row>
    <row r="36" spans="1:26" s="137" customFormat="1" ht="11.45" customHeight="1" x14ac:dyDescent="0.25">
      <c r="A36" s="4" t="s">
        <v>14</v>
      </c>
      <c r="B36" s="73" t="s">
        <v>58</v>
      </c>
      <c r="C36" s="73"/>
      <c r="D36" s="73"/>
      <c r="E36" s="148">
        <v>13</v>
      </c>
      <c r="F36" s="149" t="s">
        <v>233</v>
      </c>
      <c r="G36" s="150">
        <v>104</v>
      </c>
      <c r="H36" s="132">
        <f t="shared" si="1"/>
        <v>1560</v>
      </c>
      <c r="I36" s="131"/>
      <c r="J36" s="149"/>
      <c r="K36" s="149"/>
      <c r="L36" s="131">
        <f t="shared" si="2"/>
        <v>1000</v>
      </c>
      <c r="M36" s="150"/>
      <c r="N36" s="149"/>
      <c r="O36" s="132">
        <f t="shared" si="0"/>
        <v>2560</v>
      </c>
      <c r="P36" s="150">
        <v>174.44</v>
      </c>
      <c r="Q36" s="150"/>
      <c r="R36" s="162"/>
      <c r="S36" s="162"/>
      <c r="T36" s="150"/>
      <c r="U36" s="149"/>
      <c r="V36" s="132">
        <f t="shared" si="3"/>
        <v>174.44</v>
      </c>
      <c r="W36" s="135">
        <f t="shared" si="4"/>
        <v>2385.56</v>
      </c>
      <c r="X36" s="149">
        <v>100</v>
      </c>
      <c r="Y36" s="139">
        <v>900</v>
      </c>
      <c r="Z36" s="136"/>
    </row>
    <row r="37" spans="1:26" s="137" customFormat="1" ht="11.45" customHeight="1" x14ac:dyDescent="0.25">
      <c r="A37" s="4" t="s">
        <v>94</v>
      </c>
      <c r="B37" s="73" t="s">
        <v>58</v>
      </c>
      <c r="C37" s="73" t="s">
        <v>95</v>
      </c>
      <c r="D37" s="73"/>
      <c r="E37" s="130">
        <v>1</v>
      </c>
      <c r="F37" s="166" t="s">
        <v>96</v>
      </c>
      <c r="G37" s="166">
        <v>194.12639999999999</v>
      </c>
      <c r="H37" s="132">
        <f t="shared" si="1"/>
        <v>2911.8959999999997</v>
      </c>
      <c r="I37" s="131"/>
      <c r="J37" s="166"/>
      <c r="K37" s="166"/>
      <c r="L37" s="131">
        <f t="shared" si="2"/>
        <v>332.39</v>
      </c>
      <c r="M37" s="167"/>
      <c r="N37" s="167"/>
      <c r="O37" s="132">
        <f t="shared" si="0"/>
        <v>3244.2859999999996</v>
      </c>
      <c r="P37" s="131">
        <v>248.9</v>
      </c>
      <c r="Q37" s="166"/>
      <c r="R37" s="168">
        <v>50</v>
      </c>
      <c r="S37" s="168"/>
      <c r="T37" s="166"/>
      <c r="U37" s="166"/>
      <c r="V37" s="132">
        <f t="shared" si="3"/>
        <v>298.89999999999998</v>
      </c>
      <c r="W37" s="135">
        <f t="shared" si="4"/>
        <v>2945.3859999999995</v>
      </c>
      <c r="X37" s="166">
        <v>332.39</v>
      </c>
      <c r="Y37" s="131"/>
      <c r="Z37" s="136"/>
    </row>
    <row r="38" spans="1:26" s="137" customFormat="1" ht="11.45" customHeight="1" x14ac:dyDescent="0.25">
      <c r="A38" s="4" t="s">
        <v>94</v>
      </c>
      <c r="B38" s="73" t="s">
        <v>67</v>
      </c>
      <c r="C38" s="73" t="s">
        <v>97</v>
      </c>
      <c r="D38" s="73"/>
      <c r="E38" s="130">
        <v>2</v>
      </c>
      <c r="F38" s="139" t="s">
        <v>98</v>
      </c>
      <c r="G38" s="139">
        <v>1109.3399999999999</v>
      </c>
      <c r="H38" s="132">
        <f t="shared" si="1"/>
        <v>16640.099999999999</v>
      </c>
      <c r="I38" s="131"/>
      <c r="J38" s="139"/>
      <c r="K38" s="139"/>
      <c r="L38" s="131">
        <f t="shared" si="2"/>
        <v>0</v>
      </c>
      <c r="M38" s="139"/>
      <c r="N38" s="139"/>
      <c r="O38" s="132">
        <f t="shared" si="0"/>
        <v>16640.099999999999</v>
      </c>
      <c r="P38" s="139">
        <v>3176.71</v>
      </c>
      <c r="Q38" s="139"/>
      <c r="R38" s="156"/>
      <c r="S38" s="156"/>
      <c r="T38" s="139"/>
      <c r="U38" s="139"/>
      <c r="V38" s="132">
        <f t="shared" si="3"/>
        <v>3176.71</v>
      </c>
      <c r="W38" s="135">
        <f t="shared" si="4"/>
        <v>13463.39</v>
      </c>
      <c r="X38" s="139"/>
      <c r="Y38" s="139"/>
      <c r="Z38" s="136"/>
    </row>
    <row r="39" spans="1:26" s="137" customFormat="1" ht="11.45" customHeight="1" x14ac:dyDescent="0.25">
      <c r="A39" s="4" t="s">
        <v>23</v>
      </c>
      <c r="B39" s="73" t="s">
        <v>58</v>
      </c>
      <c r="C39" s="73" t="s">
        <v>99</v>
      </c>
      <c r="D39" s="73"/>
      <c r="E39" s="130">
        <v>1</v>
      </c>
      <c r="F39" s="133" t="s">
        <v>100</v>
      </c>
      <c r="G39" s="169">
        <v>130</v>
      </c>
      <c r="H39" s="132">
        <f t="shared" si="1"/>
        <v>1950</v>
      </c>
      <c r="I39" s="131"/>
      <c r="J39" s="133"/>
      <c r="K39" s="133"/>
      <c r="L39" s="131">
        <f t="shared" si="2"/>
        <v>818</v>
      </c>
      <c r="M39" s="132"/>
      <c r="N39" s="133"/>
      <c r="O39" s="132">
        <f t="shared" si="0"/>
        <v>2768</v>
      </c>
      <c r="P39" s="139">
        <v>197.08</v>
      </c>
      <c r="Q39" s="133"/>
      <c r="R39" s="141"/>
      <c r="S39" s="141"/>
      <c r="T39" s="133"/>
      <c r="U39" s="133"/>
      <c r="V39" s="132">
        <f t="shared" si="3"/>
        <v>197.08</v>
      </c>
      <c r="W39" s="135">
        <f t="shared" si="4"/>
        <v>2570.92</v>
      </c>
      <c r="X39" s="133">
        <v>818</v>
      </c>
      <c r="Y39" s="133"/>
      <c r="Z39" s="136"/>
    </row>
    <row r="40" spans="1:26" s="137" customFormat="1" ht="11.45" customHeight="1" x14ac:dyDescent="0.25">
      <c r="A40" s="4" t="s">
        <v>23</v>
      </c>
      <c r="B40" s="73" t="s">
        <v>58</v>
      </c>
      <c r="C40" s="73" t="s">
        <v>17</v>
      </c>
      <c r="D40" s="73"/>
      <c r="E40" s="130">
        <v>2</v>
      </c>
      <c r="F40" s="170" t="s">
        <v>101</v>
      </c>
      <c r="G40" s="169">
        <v>140</v>
      </c>
      <c r="H40" s="132">
        <f t="shared" si="1"/>
        <v>2100</v>
      </c>
      <c r="I40" s="131"/>
      <c r="J40" s="133"/>
      <c r="K40" s="133"/>
      <c r="L40" s="131">
        <f t="shared" si="2"/>
        <v>560</v>
      </c>
      <c r="M40" s="132"/>
      <c r="N40" s="133"/>
      <c r="O40" s="132">
        <f t="shared" si="0"/>
        <v>2660</v>
      </c>
      <c r="P40" s="139">
        <v>185.32</v>
      </c>
      <c r="Q40" s="133"/>
      <c r="R40" s="141"/>
      <c r="S40" s="141"/>
      <c r="T40" s="133"/>
      <c r="U40" s="133"/>
      <c r="V40" s="132">
        <f t="shared" si="3"/>
        <v>185.32</v>
      </c>
      <c r="W40" s="135">
        <f t="shared" si="4"/>
        <v>2474.6799999999998</v>
      </c>
      <c r="X40" s="133">
        <v>560</v>
      </c>
      <c r="Y40" s="133"/>
      <c r="Z40" s="136"/>
    </row>
    <row r="41" spans="1:26" s="137" customFormat="1" ht="11.45" customHeight="1" x14ac:dyDescent="0.25">
      <c r="A41" s="4" t="s">
        <v>23</v>
      </c>
      <c r="B41" s="73" t="s">
        <v>58</v>
      </c>
      <c r="C41" s="73" t="s">
        <v>102</v>
      </c>
      <c r="D41" s="73"/>
      <c r="E41" s="130">
        <v>3</v>
      </c>
      <c r="F41" s="165" t="s">
        <v>103</v>
      </c>
      <c r="G41" s="158">
        <v>547.05999999999995</v>
      </c>
      <c r="H41" s="132">
        <f t="shared" si="1"/>
        <v>8205.9</v>
      </c>
      <c r="I41" s="131"/>
      <c r="J41" s="133"/>
      <c r="K41" s="133"/>
      <c r="L41" s="131">
        <f t="shared" si="2"/>
        <v>0</v>
      </c>
      <c r="M41" s="132"/>
      <c r="N41" s="133">
        <v>0</v>
      </c>
      <c r="O41" s="132">
        <f t="shared" si="0"/>
        <v>8205.9</v>
      </c>
      <c r="P41" s="139">
        <v>1205.5899999999999</v>
      </c>
      <c r="Q41" s="133"/>
      <c r="R41" s="141"/>
      <c r="S41" s="141"/>
      <c r="T41" s="133"/>
      <c r="U41" s="133"/>
      <c r="V41" s="132">
        <f t="shared" si="3"/>
        <v>1205.5899999999999</v>
      </c>
      <c r="W41" s="135">
        <f t="shared" si="4"/>
        <v>7000.3099999999995</v>
      </c>
      <c r="X41" s="133"/>
      <c r="Y41" s="133"/>
      <c r="Z41" s="136"/>
    </row>
    <row r="42" spans="1:26" s="137" customFormat="1" ht="11.45" customHeight="1" x14ac:dyDescent="0.25">
      <c r="A42" s="4" t="s">
        <v>24</v>
      </c>
      <c r="B42" s="73" t="s">
        <v>58</v>
      </c>
      <c r="C42" s="73" t="s">
        <v>25</v>
      </c>
      <c r="D42" s="73"/>
      <c r="E42" s="130">
        <v>1</v>
      </c>
      <c r="F42" s="132" t="s">
        <v>104</v>
      </c>
      <c r="G42" s="132">
        <v>104</v>
      </c>
      <c r="H42" s="132">
        <f t="shared" si="1"/>
        <v>1560</v>
      </c>
      <c r="I42" s="131"/>
      <c r="J42" s="133"/>
      <c r="K42" s="132"/>
      <c r="L42" s="131">
        <f t="shared" si="2"/>
        <v>100</v>
      </c>
      <c r="M42" s="132"/>
      <c r="N42" s="132">
        <v>0</v>
      </c>
      <c r="O42" s="132">
        <f t="shared" si="0"/>
        <v>1660</v>
      </c>
      <c r="P42" s="131">
        <v>95.22</v>
      </c>
      <c r="Q42" s="171"/>
      <c r="R42" s="153"/>
      <c r="S42" s="153"/>
      <c r="T42" s="132">
        <v>0</v>
      </c>
      <c r="U42" s="132"/>
      <c r="V42" s="132">
        <f t="shared" si="3"/>
        <v>95.22</v>
      </c>
      <c r="W42" s="135">
        <f t="shared" si="4"/>
        <v>1564.78</v>
      </c>
      <c r="X42" s="132">
        <v>100</v>
      </c>
      <c r="Y42" s="132"/>
      <c r="Z42" s="136"/>
    </row>
    <row r="43" spans="1:26" s="137" customFormat="1" ht="11.45" customHeight="1" x14ac:dyDescent="0.25">
      <c r="A43" s="4" t="s">
        <v>24</v>
      </c>
      <c r="B43" s="73" t="s">
        <v>58</v>
      </c>
      <c r="C43" s="73" t="s">
        <v>45</v>
      </c>
      <c r="D43" s="73"/>
      <c r="E43" s="130">
        <v>2</v>
      </c>
      <c r="F43" s="131" t="s">
        <v>105</v>
      </c>
      <c r="G43" s="131">
        <v>207.5</v>
      </c>
      <c r="H43" s="132">
        <f t="shared" si="1"/>
        <v>3112.5</v>
      </c>
      <c r="I43" s="131"/>
      <c r="J43" s="133"/>
      <c r="K43" s="132"/>
      <c r="L43" s="131">
        <f t="shared" si="2"/>
        <v>1100</v>
      </c>
      <c r="M43" s="132"/>
      <c r="N43" s="132"/>
      <c r="O43" s="132">
        <f t="shared" si="0"/>
        <v>4212.5</v>
      </c>
      <c r="P43" s="131">
        <v>383.09</v>
      </c>
      <c r="Q43" s="171">
        <v>1500</v>
      </c>
      <c r="R43" s="134"/>
      <c r="S43" s="134"/>
      <c r="T43" s="131">
        <v>0</v>
      </c>
      <c r="U43" s="172"/>
      <c r="V43" s="132">
        <f t="shared" si="3"/>
        <v>1883.09</v>
      </c>
      <c r="W43" s="135">
        <f t="shared" si="4"/>
        <v>2329.41</v>
      </c>
      <c r="X43" s="131">
        <v>600</v>
      </c>
      <c r="Y43" s="131">
        <v>500</v>
      </c>
      <c r="Z43" s="136"/>
    </row>
    <row r="44" spans="1:26" s="137" customFormat="1" ht="11.45" customHeight="1" x14ac:dyDescent="0.25">
      <c r="A44" s="4" t="s">
        <v>24</v>
      </c>
      <c r="B44" s="73" t="s">
        <v>58</v>
      </c>
      <c r="C44" s="73" t="s">
        <v>25</v>
      </c>
      <c r="D44" s="73"/>
      <c r="E44" s="130">
        <v>3</v>
      </c>
      <c r="F44" s="131" t="s">
        <v>106</v>
      </c>
      <c r="G44" s="131">
        <v>100.017</v>
      </c>
      <c r="H44" s="132">
        <f t="shared" si="1"/>
        <v>1500.2549999999999</v>
      </c>
      <c r="I44" s="131"/>
      <c r="J44" s="133"/>
      <c r="K44" s="132"/>
      <c r="L44" s="131">
        <f t="shared" si="2"/>
        <v>100</v>
      </c>
      <c r="M44" s="132"/>
      <c r="N44" s="132"/>
      <c r="O44" s="132">
        <f t="shared" si="0"/>
        <v>1600.2549999999999</v>
      </c>
      <c r="P44" s="131">
        <v>91.4</v>
      </c>
      <c r="Q44" s="132"/>
      <c r="R44" s="134"/>
      <c r="S44" s="134"/>
      <c r="T44" s="131"/>
      <c r="U44" s="131"/>
      <c r="V44" s="132">
        <f t="shared" si="3"/>
        <v>91.4</v>
      </c>
      <c r="W44" s="135">
        <f t="shared" si="4"/>
        <v>1508.8549999999998</v>
      </c>
      <c r="X44" s="131">
        <v>100</v>
      </c>
      <c r="Y44" s="131"/>
      <c r="Z44" s="136"/>
    </row>
    <row r="45" spans="1:26" s="137" customFormat="1" ht="11.45" customHeight="1" x14ac:dyDescent="0.25">
      <c r="A45" s="4" t="s">
        <v>24</v>
      </c>
      <c r="B45" s="73" t="s">
        <v>58</v>
      </c>
      <c r="C45" s="73" t="s">
        <v>25</v>
      </c>
      <c r="D45" s="73"/>
      <c r="E45" s="130">
        <v>4</v>
      </c>
      <c r="F45" s="133" t="s">
        <v>107</v>
      </c>
      <c r="G45" s="133">
        <v>138.68</v>
      </c>
      <c r="H45" s="132">
        <f t="shared" si="1"/>
        <v>2080.2000000000003</v>
      </c>
      <c r="I45" s="131"/>
      <c r="J45" s="133"/>
      <c r="K45" s="132"/>
      <c r="L45" s="131">
        <f t="shared" si="2"/>
        <v>140</v>
      </c>
      <c r="M45" s="132"/>
      <c r="N45" s="132">
        <v>0</v>
      </c>
      <c r="O45" s="132">
        <f t="shared" si="0"/>
        <v>2220.2000000000003</v>
      </c>
      <c r="P45" s="131">
        <v>137.47</v>
      </c>
      <c r="Q45" s="133"/>
      <c r="R45" s="141"/>
      <c r="S45" s="141"/>
      <c r="T45" s="133"/>
      <c r="U45" s="133"/>
      <c r="V45" s="132">
        <f t="shared" si="3"/>
        <v>137.47</v>
      </c>
      <c r="W45" s="135">
        <f t="shared" si="4"/>
        <v>2082.7300000000005</v>
      </c>
      <c r="X45" s="133">
        <v>140</v>
      </c>
      <c r="Y45" s="133"/>
      <c r="Z45" s="136"/>
    </row>
    <row r="46" spans="1:26" s="137" customFormat="1" ht="11.45" customHeight="1" x14ac:dyDescent="0.25">
      <c r="A46" s="4" t="s">
        <v>24</v>
      </c>
      <c r="B46" s="73" t="s">
        <v>58</v>
      </c>
      <c r="C46" s="73" t="s">
        <v>25</v>
      </c>
      <c r="D46" s="73"/>
      <c r="E46" s="130">
        <v>5</v>
      </c>
      <c r="F46" s="133" t="s">
        <v>108</v>
      </c>
      <c r="G46" s="133">
        <v>138.68</v>
      </c>
      <c r="H46" s="132">
        <f t="shared" si="1"/>
        <v>2080.2000000000003</v>
      </c>
      <c r="I46" s="131"/>
      <c r="J46" s="133"/>
      <c r="K46" s="132"/>
      <c r="L46" s="131">
        <f t="shared" si="2"/>
        <v>140</v>
      </c>
      <c r="M46" s="132"/>
      <c r="N46" s="132">
        <v>0</v>
      </c>
      <c r="O46" s="132">
        <f t="shared" si="0"/>
        <v>2220.2000000000003</v>
      </c>
      <c r="P46" s="131">
        <v>137.47</v>
      </c>
      <c r="Q46" s="133"/>
      <c r="R46" s="141"/>
      <c r="S46" s="141"/>
      <c r="T46" s="133"/>
      <c r="U46" s="133"/>
      <c r="V46" s="132">
        <f t="shared" si="3"/>
        <v>137.47</v>
      </c>
      <c r="W46" s="135">
        <f t="shared" si="4"/>
        <v>2082.7300000000005</v>
      </c>
      <c r="X46" s="133">
        <v>140</v>
      </c>
      <c r="Y46" s="133"/>
      <c r="Z46" s="136"/>
    </row>
    <row r="47" spans="1:26" s="137" customFormat="1" ht="11.45" customHeight="1" x14ac:dyDescent="0.25">
      <c r="A47" s="4" t="s">
        <v>24</v>
      </c>
      <c r="B47" s="73" t="s">
        <v>58</v>
      </c>
      <c r="C47" s="73" t="s">
        <v>45</v>
      </c>
      <c r="D47" s="73"/>
      <c r="E47" s="130">
        <v>6</v>
      </c>
      <c r="F47" s="131" t="s">
        <v>109</v>
      </c>
      <c r="G47" s="131">
        <v>255</v>
      </c>
      <c r="H47" s="132">
        <f t="shared" si="1"/>
        <v>3825</v>
      </c>
      <c r="I47" s="131"/>
      <c r="J47" s="133"/>
      <c r="K47" s="132"/>
      <c r="L47" s="131">
        <f t="shared" si="2"/>
        <v>1100</v>
      </c>
      <c r="M47" s="132"/>
      <c r="N47" s="132"/>
      <c r="O47" s="132">
        <f t="shared" si="0"/>
        <v>4925</v>
      </c>
      <c r="P47" s="131">
        <v>510.07</v>
      </c>
      <c r="Q47" s="131"/>
      <c r="R47" s="134"/>
      <c r="S47" s="134"/>
      <c r="T47" s="131"/>
      <c r="U47" s="131"/>
      <c r="V47" s="132">
        <f t="shared" si="3"/>
        <v>510.07</v>
      </c>
      <c r="W47" s="135">
        <f t="shared" si="4"/>
        <v>4414.93</v>
      </c>
      <c r="X47" s="131">
        <v>600</v>
      </c>
      <c r="Y47" s="131">
        <v>500</v>
      </c>
      <c r="Z47" s="136"/>
    </row>
    <row r="48" spans="1:26" s="137" customFormat="1" ht="11.45" customHeight="1" x14ac:dyDescent="0.25">
      <c r="A48" s="4" t="s">
        <v>24</v>
      </c>
      <c r="B48" s="73" t="s">
        <v>58</v>
      </c>
      <c r="C48" s="73" t="s">
        <v>110</v>
      </c>
      <c r="D48" s="73"/>
      <c r="E48" s="130">
        <v>7</v>
      </c>
      <c r="F48" s="133" t="s">
        <v>111</v>
      </c>
      <c r="G48" s="133">
        <v>179.92000000000002</v>
      </c>
      <c r="H48" s="132">
        <f t="shared" si="1"/>
        <v>2698.8</v>
      </c>
      <c r="I48" s="131"/>
      <c r="J48" s="133"/>
      <c r="K48" s="131"/>
      <c r="L48" s="131">
        <f t="shared" si="2"/>
        <v>145</v>
      </c>
      <c r="M48" s="132"/>
      <c r="N48" s="132">
        <v>0</v>
      </c>
      <c r="O48" s="132">
        <f t="shared" si="0"/>
        <v>2843.8</v>
      </c>
      <c r="P48" s="131">
        <v>205.32</v>
      </c>
      <c r="Q48" s="133"/>
      <c r="R48" s="141">
        <v>48.76</v>
      </c>
      <c r="S48" s="141"/>
      <c r="T48" s="133"/>
      <c r="U48" s="133"/>
      <c r="V48" s="132">
        <f t="shared" si="3"/>
        <v>254.07999999999998</v>
      </c>
      <c r="W48" s="135">
        <f t="shared" si="4"/>
        <v>2589.7200000000003</v>
      </c>
      <c r="X48" s="133">
        <v>145</v>
      </c>
      <c r="Y48" s="133"/>
      <c r="Z48" s="136"/>
    </row>
    <row r="49" spans="1:26" s="137" customFormat="1" ht="11.45" customHeight="1" x14ac:dyDescent="0.25">
      <c r="A49" s="4" t="s">
        <v>24</v>
      </c>
      <c r="B49" s="73" t="s">
        <v>58</v>
      </c>
      <c r="C49" s="73" t="s">
        <v>112</v>
      </c>
      <c r="D49" s="73"/>
      <c r="E49" s="130">
        <v>8</v>
      </c>
      <c r="F49" s="133" t="s">
        <v>113</v>
      </c>
      <c r="G49" s="132">
        <v>173.34</v>
      </c>
      <c r="H49" s="132">
        <f t="shared" si="1"/>
        <v>2600.1</v>
      </c>
      <c r="I49" s="131"/>
      <c r="J49" s="133"/>
      <c r="K49" s="131"/>
      <c r="L49" s="131">
        <f t="shared" si="2"/>
        <v>1700</v>
      </c>
      <c r="M49" s="132"/>
      <c r="N49" s="132">
        <v>0</v>
      </c>
      <c r="O49" s="132">
        <f t="shared" si="0"/>
        <v>4300.1000000000004</v>
      </c>
      <c r="P49" s="131">
        <v>398.08</v>
      </c>
      <c r="Q49" s="133"/>
      <c r="R49" s="141"/>
      <c r="S49" s="141"/>
      <c r="T49" s="133"/>
      <c r="U49" s="133"/>
      <c r="V49" s="132">
        <f t="shared" si="3"/>
        <v>398.08</v>
      </c>
      <c r="W49" s="135">
        <f t="shared" si="4"/>
        <v>3902.0200000000004</v>
      </c>
      <c r="X49" s="133">
        <v>1700</v>
      </c>
      <c r="Y49" s="133"/>
      <c r="Z49" s="136"/>
    </row>
    <row r="50" spans="1:26" s="137" customFormat="1" ht="11.45" customHeight="1" x14ac:dyDescent="0.25">
      <c r="A50" s="4" t="s">
        <v>24</v>
      </c>
      <c r="B50" s="73" t="s">
        <v>58</v>
      </c>
      <c r="C50" s="73" t="s">
        <v>50</v>
      </c>
      <c r="D50" s="73"/>
      <c r="E50" s="130">
        <v>9</v>
      </c>
      <c r="F50" s="133" t="s">
        <v>114</v>
      </c>
      <c r="G50" s="133">
        <v>124.80000000000001</v>
      </c>
      <c r="H50" s="132">
        <f t="shared" si="1"/>
        <v>1872.0000000000002</v>
      </c>
      <c r="I50" s="131"/>
      <c r="J50" s="133"/>
      <c r="K50" s="131"/>
      <c r="L50" s="131">
        <f t="shared" si="2"/>
        <v>120</v>
      </c>
      <c r="M50" s="133"/>
      <c r="N50" s="133"/>
      <c r="O50" s="132">
        <f t="shared" si="0"/>
        <v>1992.0000000000002</v>
      </c>
      <c r="P50" s="139">
        <v>116.47</v>
      </c>
      <c r="Q50" s="133"/>
      <c r="R50" s="141"/>
      <c r="S50" s="141"/>
      <c r="T50" s="133"/>
      <c r="U50" s="133"/>
      <c r="V50" s="132">
        <f t="shared" si="3"/>
        <v>116.47</v>
      </c>
      <c r="W50" s="135">
        <f t="shared" si="4"/>
        <v>1875.5300000000002</v>
      </c>
      <c r="X50" s="133">
        <v>120</v>
      </c>
      <c r="Y50" s="133"/>
      <c r="Z50" s="136"/>
    </row>
    <row r="51" spans="1:26" s="137" customFormat="1" ht="11.45" customHeight="1" x14ac:dyDescent="0.25">
      <c r="A51" s="4" t="s">
        <v>24</v>
      </c>
      <c r="B51" s="73" t="s">
        <v>58</v>
      </c>
      <c r="C51" s="73" t="s">
        <v>115</v>
      </c>
      <c r="D51" s="73"/>
      <c r="E51" s="130">
        <v>10</v>
      </c>
      <c r="F51" s="133" t="s">
        <v>116</v>
      </c>
      <c r="G51" s="133">
        <v>200</v>
      </c>
      <c r="H51" s="132">
        <f t="shared" si="1"/>
        <v>3000</v>
      </c>
      <c r="I51" s="131"/>
      <c r="J51" s="133"/>
      <c r="K51" s="131"/>
      <c r="L51" s="131">
        <f t="shared" si="2"/>
        <v>1700</v>
      </c>
      <c r="M51" s="133"/>
      <c r="N51" s="133">
        <v>0</v>
      </c>
      <c r="O51" s="132">
        <f t="shared" si="0"/>
        <v>4700</v>
      </c>
      <c r="P51" s="139">
        <v>469.75</v>
      </c>
      <c r="Q51" s="139"/>
      <c r="R51" s="139"/>
      <c r="S51" s="139">
        <v>1656.84</v>
      </c>
      <c r="T51" s="139"/>
      <c r="U51" s="133"/>
      <c r="V51" s="132">
        <f t="shared" si="3"/>
        <v>2126.59</v>
      </c>
      <c r="W51" s="135">
        <f t="shared" si="4"/>
        <v>2573.41</v>
      </c>
      <c r="X51" s="133">
        <v>1700</v>
      </c>
      <c r="Y51" s="133"/>
      <c r="Z51" s="136"/>
    </row>
    <row r="52" spans="1:26" s="137" customFormat="1" ht="11.45" customHeight="1" x14ac:dyDescent="0.25">
      <c r="A52" s="4" t="s">
        <v>24</v>
      </c>
      <c r="B52" s="73" t="s">
        <v>58</v>
      </c>
      <c r="C52" s="73" t="s">
        <v>25</v>
      </c>
      <c r="D52" s="73"/>
      <c r="E52" s="130">
        <v>11</v>
      </c>
      <c r="F52" s="163" t="s">
        <v>117</v>
      </c>
      <c r="G52" s="141">
        <v>113.34</v>
      </c>
      <c r="H52" s="132">
        <f t="shared" si="1"/>
        <v>1700.1000000000001</v>
      </c>
      <c r="I52" s="131"/>
      <c r="J52" s="133"/>
      <c r="K52" s="131"/>
      <c r="L52" s="131">
        <f>Y52+X52</f>
        <v>1393.38</v>
      </c>
      <c r="M52" s="133"/>
      <c r="N52" s="133"/>
      <c r="O52" s="132">
        <f t="shared" si="0"/>
        <v>3093.4800000000005</v>
      </c>
      <c r="P52" s="139">
        <v>232.49</v>
      </c>
      <c r="Q52" s="133"/>
      <c r="R52" s="141"/>
      <c r="S52" s="141"/>
      <c r="T52" s="133"/>
      <c r="U52" s="133"/>
      <c r="V52" s="132">
        <f t="shared" si="3"/>
        <v>232.49</v>
      </c>
      <c r="W52" s="135">
        <f t="shared" si="4"/>
        <v>2860.9900000000007</v>
      </c>
      <c r="X52" s="133">
        <v>893.38000000000011</v>
      </c>
      <c r="Y52" s="133">
        <v>500</v>
      </c>
      <c r="Z52" s="136"/>
    </row>
    <row r="53" spans="1:26" s="137" customFormat="1" ht="11.45" customHeight="1" x14ac:dyDescent="0.25">
      <c r="A53" s="4" t="s">
        <v>24</v>
      </c>
      <c r="B53" s="73" t="s">
        <v>58</v>
      </c>
      <c r="C53" s="73" t="s">
        <v>25</v>
      </c>
      <c r="D53" s="73"/>
      <c r="E53" s="148">
        <v>12</v>
      </c>
      <c r="F53" s="173" t="s">
        <v>234</v>
      </c>
      <c r="G53" s="149">
        <v>113.34</v>
      </c>
      <c r="H53" s="132">
        <f t="shared" si="1"/>
        <v>1700.1000000000001</v>
      </c>
      <c r="I53" s="131"/>
      <c r="J53" s="149"/>
      <c r="K53" s="131"/>
      <c r="L53" s="131">
        <f t="shared" si="2"/>
        <v>1393.38</v>
      </c>
      <c r="M53" s="149"/>
      <c r="N53" s="149"/>
      <c r="O53" s="132">
        <f t="shared" si="0"/>
        <v>3093.4800000000005</v>
      </c>
      <c r="P53" s="139">
        <v>232.49</v>
      </c>
      <c r="Q53" s="149"/>
      <c r="R53" s="151"/>
      <c r="S53" s="151"/>
      <c r="T53" s="149"/>
      <c r="U53" s="149"/>
      <c r="V53" s="132">
        <f t="shared" si="3"/>
        <v>232.49</v>
      </c>
      <c r="W53" s="135">
        <f t="shared" si="4"/>
        <v>2860.9900000000007</v>
      </c>
      <c r="X53" s="133">
        <v>893.38000000000011</v>
      </c>
      <c r="Y53" s="133">
        <v>500</v>
      </c>
      <c r="Z53" s="136"/>
    </row>
    <row r="54" spans="1:26" s="137" customFormat="1" ht="11.45" customHeight="1" x14ac:dyDescent="0.25">
      <c r="A54" s="4" t="s">
        <v>24</v>
      </c>
      <c r="B54" s="73" t="s">
        <v>58</v>
      </c>
      <c r="C54" s="73" t="s">
        <v>25</v>
      </c>
      <c r="D54" s="73"/>
      <c r="E54" s="148">
        <v>13</v>
      </c>
      <c r="F54" s="173" t="s">
        <v>242</v>
      </c>
      <c r="G54" s="149">
        <v>138.68</v>
      </c>
      <c r="H54" s="132">
        <f>G54*15</f>
        <v>2080.2000000000003</v>
      </c>
      <c r="I54" s="131"/>
      <c r="J54" s="149"/>
      <c r="K54" s="131"/>
      <c r="L54" s="131">
        <f t="shared" ref="L54" si="5">Y54+X54</f>
        <v>0</v>
      </c>
      <c r="M54" s="149"/>
      <c r="N54" s="149"/>
      <c r="O54" s="132">
        <f t="shared" ref="O54" si="6">SUM(H54:N54)</f>
        <v>2080.2000000000003</v>
      </c>
      <c r="P54" s="149">
        <v>122.24</v>
      </c>
      <c r="Q54" s="149"/>
      <c r="R54" s="151"/>
      <c r="S54" s="151"/>
      <c r="T54" s="149"/>
      <c r="U54" s="149"/>
      <c r="V54" s="132">
        <f t="shared" ref="V54" si="7">SUM(P54:U54)</f>
        <v>122.24</v>
      </c>
      <c r="W54" s="135">
        <f t="shared" ref="W54" si="8">O54-V54</f>
        <v>1957.9600000000003</v>
      </c>
      <c r="X54" s="133">
        <v>0</v>
      </c>
      <c r="Y54" s="133"/>
      <c r="Z54" s="136"/>
    </row>
    <row r="55" spans="1:26" s="137" customFormat="1" ht="11.45" customHeight="1" x14ac:dyDescent="0.25">
      <c r="A55" s="4" t="s">
        <v>24</v>
      </c>
      <c r="B55" s="73" t="s">
        <v>58</v>
      </c>
      <c r="C55" s="73" t="s">
        <v>25</v>
      </c>
      <c r="D55" s="73"/>
      <c r="E55" s="148">
        <v>13</v>
      </c>
      <c r="F55" s="173" t="s">
        <v>293</v>
      </c>
      <c r="G55" s="149"/>
      <c r="H55" s="132">
        <f>G55*15</f>
        <v>0</v>
      </c>
      <c r="I55" s="131"/>
      <c r="J55" s="149"/>
      <c r="K55" s="131"/>
      <c r="L55" s="131">
        <f t="shared" si="2"/>
        <v>0</v>
      </c>
      <c r="M55" s="149"/>
      <c r="N55" s="149"/>
      <c r="O55" s="132">
        <f t="shared" si="0"/>
        <v>0</v>
      </c>
      <c r="P55" s="149"/>
      <c r="Q55" s="149"/>
      <c r="R55" s="151"/>
      <c r="S55" s="151"/>
      <c r="T55" s="149"/>
      <c r="U55" s="149"/>
      <c r="V55" s="132">
        <f t="shared" si="3"/>
        <v>0</v>
      </c>
      <c r="W55" s="135">
        <f t="shared" si="4"/>
        <v>0</v>
      </c>
      <c r="X55" s="133">
        <v>0</v>
      </c>
      <c r="Y55" s="133"/>
      <c r="Z55" s="136"/>
    </row>
    <row r="56" spans="1:26" s="118" customFormat="1" x14ac:dyDescent="0.25">
      <c r="A56" s="2"/>
      <c r="B56" s="2"/>
      <c r="C56" s="2"/>
      <c r="D56" s="2"/>
      <c r="E56" s="175">
        <v>1</v>
      </c>
      <c r="F56" s="133" t="s">
        <v>120</v>
      </c>
      <c r="G56" s="133">
        <v>100.02</v>
      </c>
      <c r="H56" s="133">
        <v>1500.3</v>
      </c>
      <c r="I56" s="133"/>
      <c r="J56" s="133"/>
      <c r="K56" s="133"/>
      <c r="L56" s="139">
        <v>100</v>
      </c>
      <c r="M56" s="133"/>
      <c r="N56" s="133"/>
      <c r="O56" s="133">
        <v>1600.3</v>
      </c>
      <c r="P56" s="133">
        <v>91.4</v>
      </c>
      <c r="Q56" s="133"/>
      <c r="R56" s="141">
        <v>36.06</v>
      </c>
      <c r="S56" s="141"/>
      <c r="T56" s="133"/>
      <c r="U56" s="133"/>
      <c r="V56" s="133">
        <v>127.46000000000001</v>
      </c>
      <c r="W56" s="176">
        <v>1472.84</v>
      </c>
      <c r="X56" s="2"/>
      <c r="Y56" s="2"/>
    </row>
    <row r="57" spans="1:26" s="118" customFormat="1" x14ac:dyDescent="0.25">
      <c r="A57" s="2"/>
      <c r="B57" s="2"/>
      <c r="C57" s="2"/>
      <c r="D57" s="2"/>
      <c r="E57" s="175">
        <v>2</v>
      </c>
      <c r="F57" s="133" t="s">
        <v>121</v>
      </c>
      <c r="G57" s="133">
        <v>100.02</v>
      </c>
      <c r="H57" s="133">
        <v>1500.3</v>
      </c>
      <c r="I57" s="133"/>
      <c r="J57" s="133">
        <v>200.04</v>
      </c>
      <c r="K57" s="140"/>
      <c r="L57" s="139">
        <v>100</v>
      </c>
      <c r="M57" s="133"/>
      <c r="N57" s="133"/>
      <c r="O57" s="133">
        <v>1800.34</v>
      </c>
      <c r="P57" s="133">
        <v>104.2</v>
      </c>
      <c r="Q57" s="133">
        <v>0</v>
      </c>
      <c r="R57" s="141"/>
      <c r="S57" s="141"/>
      <c r="T57" s="133"/>
      <c r="U57" s="133"/>
      <c r="V57" s="133">
        <v>104.2</v>
      </c>
      <c r="W57" s="176">
        <v>1696.1399999999999</v>
      </c>
      <c r="X57" s="2"/>
      <c r="Y57" s="2"/>
    </row>
    <row r="58" spans="1:26" s="118" customFormat="1" x14ac:dyDescent="0.25">
      <c r="A58" s="2"/>
      <c r="B58" s="2"/>
      <c r="C58" s="2"/>
      <c r="D58" s="2"/>
      <c r="E58" s="175">
        <v>3</v>
      </c>
      <c r="F58" s="132" t="s">
        <v>122</v>
      </c>
      <c r="G58" s="132">
        <v>100.02</v>
      </c>
      <c r="H58" s="133">
        <v>1500.3</v>
      </c>
      <c r="I58" s="133"/>
      <c r="J58" s="133">
        <v>200.04</v>
      </c>
      <c r="K58" s="140"/>
      <c r="L58" s="139">
        <v>100</v>
      </c>
      <c r="M58" s="132"/>
      <c r="N58" s="133"/>
      <c r="O58" s="133">
        <v>1800.34</v>
      </c>
      <c r="P58" s="133">
        <v>104.2</v>
      </c>
      <c r="Q58" s="133"/>
      <c r="R58" s="141">
        <v>36.06</v>
      </c>
      <c r="S58" s="141"/>
      <c r="T58" s="133"/>
      <c r="U58" s="133"/>
      <c r="V58" s="133">
        <v>140.26</v>
      </c>
      <c r="W58" s="176">
        <v>1660.08</v>
      </c>
      <c r="X58" s="2"/>
      <c r="Y58" s="2"/>
    </row>
    <row r="59" spans="1:26" s="118" customFormat="1" x14ac:dyDescent="0.25">
      <c r="A59" s="2"/>
      <c r="B59" s="2"/>
      <c r="C59" s="2"/>
      <c r="D59" s="2"/>
      <c r="E59" s="175">
        <v>4</v>
      </c>
      <c r="F59" s="132" t="s">
        <v>123</v>
      </c>
      <c r="G59" s="132">
        <v>100.02</v>
      </c>
      <c r="H59" s="133">
        <v>1500.3</v>
      </c>
      <c r="I59" s="133"/>
      <c r="J59" s="133">
        <v>200.04</v>
      </c>
      <c r="K59" s="140"/>
      <c r="L59" s="139">
        <v>100</v>
      </c>
      <c r="M59" s="132"/>
      <c r="N59" s="133"/>
      <c r="O59" s="133">
        <v>1800.34</v>
      </c>
      <c r="P59" s="133">
        <v>104.2</v>
      </c>
      <c r="Q59" s="133"/>
      <c r="R59" s="141">
        <v>36.06</v>
      </c>
      <c r="S59" s="141"/>
      <c r="T59" s="133"/>
      <c r="U59" s="133"/>
      <c r="V59" s="133">
        <v>140.26</v>
      </c>
      <c r="W59" s="176">
        <v>1660.08</v>
      </c>
      <c r="X59" s="2"/>
      <c r="Y59" s="2"/>
    </row>
    <row r="60" spans="1:26" s="118" customFormat="1" x14ac:dyDescent="0.25">
      <c r="A60" s="2"/>
      <c r="B60" s="2"/>
      <c r="C60" s="2"/>
      <c r="D60" s="2"/>
      <c r="E60" s="175">
        <v>5</v>
      </c>
      <c r="F60" s="131" t="s">
        <v>125</v>
      </c>
      <c r="G60" s="131">
        <v>569.58000000000004</v>
      </c>
      <c r="H60" s="133">
        <v>8543.7000000000007</v>
      </c>
      <c r="I60" s="133"/>
      <c r="J60" s="133">
        <v>1139.1600000000001</v>
      </c>
      <c r="K60" s="140"/>
      <c r="L60" s="139">
        <v>1000</v>
      </c>
      <c r="M60" s="131"/>
      <c r="N60" s="133"/>
      <c r="O60" s="133">
        <v>10682.86</v>
      </c>
      <c r="P60" s="139">
        <v>1743.92</v>
      </c>
      <c r="Q60" s="139"/>
      <c r="R60" s="156"/>
      <c r="S60" s="156"/>
      <c r="T60" s="139"/>
      <c r="U60" s="139"/>
      <c r="V60" s="133">
        <v>1743.92</v>
      </c>
      <c r="W60" s="176">
        <v>8938.94</v>
      </c>
      <c r="X60" s="2"/>
      <c r="Y60" s="2"/>
    </row>
    <row r="61" spans="1:26" s="118" customFormat="1" x14ac:dyDescent="0.25">
      <c r="A61" s="2"/>
      <c r="B61" s="2"/>
      <c r="C61" s="2"/>
      <c r="D61" s="2"/>
      <c r="E61" s="175">
        <v>6</v>
      </c>
      <c r="F61" s="131" t="s">
        <v>126</v>
      </c>
      <c r="G61" s="131">
        <v>219.71</v>
      </c>
      <c r="H61" s="133">
        <v>3295.65</v>
      </c>
      <c r="I61" s="133"/>
      <c r="J61" s="133">
        <v>439.42</v>
      </c>
      <c r="K61" s="140"/>
      <c r="L61" s="139">
        <v>850</v>
      </c>
      <c r="M61" s="131"/>
      <c r="N61" s="133"/>
      <c r="O61" s="133">
        <v>4585.07</v>
      </c>
      <c r="P61" s="139">
        <v>449.15</v>
      </c>
      <c r="Q61" s="139"/>
      <c r="R61" s="156">
        <v>36.1</v>
      </c>
      <c r="S61" s="156"/>
      <c r="T61" s="139"/>
      <c r="U61" s="139"/>
      <c r="V61" s="133">
        <v>485.25</v>
      </c>
      <c r="W61" s="176">
        <v>4099.82</v>
      </c>
      <c r="X61" s="2"/>
      <c r="Y61" s="2"/>
    </row>
    <row r="62" spans="1:26" s="118" customFormat="1" x14ac:dyDescent="0.25">
      <c r="A62" s="2"/>
      <c r="B62" s="2"/>
      <c r="C62" s="2"/>
      <c r="D62" s="2"/>
      <c r="E62" s="175">
        <v>7</v>
      </c>
      <c r="F62" s="133" t="s">
        <v>127</v>
      </c>
      <c r="G62" s="133">
        <v>100.09</v>
      </c>
      <c r="H62" s="133">
        <v>1501.3500000000001</v>
      </c>
      <c r="I62" s="133"/>
      <c r="J62" s="133"/>
      <c r="K62" s="140"/>
      <c r="L62" s="139">
        <v>100</v>
      </c>
      <c r="M62" s="133"/>
      <c r="N62" s="133"/>
      <c r="O62" s="133">
        <v>1601.3500000000001</v>
      </c>
      <c r="P62" s="139">
        <v>91.47</v>
      </c>
      <c r="Q62" s="133"/>
      <c r="R62" s="141">
        <v>36.1</v>
      </c>
      <c r="S62" s="141"/>
      <c r="T62" s="133"/>
      <c r="U62" s="133"/>
      <c r="V62" s="133">
        <v>127.57</v>
      </c>
      <c r="W62" s="176">
        <v>1473.7800000000002</v>
      </c>
      <c r="X62" s="2"/>
      <c r="Y62" s="2"/>
    </row>
    <row r="63" spans="1:26" s="118" customFormat="1" x14ac:dyDescent="0.25">
      <c r="A63" s="2"/>
      <c r="B63" s="2"/>
      <c r="C63" s="2"/>
      <c r="D63" s="2"/>
      <c r="E63" s="175">
        <v>8</v>
      </c>
      <c r="F63" s="133" t="s">
        <v>128</v>
      </c>
      <c r="G63" s="133">
        <v>124.80000000000001</v>
      </c>
      <c r="H63" s="133">
        <v>1872.0000000000002</v>
      </c>
      <c r="I63" s="133"/>
      <c r="J63" s="133">
        <v>249.60000000000002</v>
      </c>
      <c r="K63" s="140"/>
      <c r="L63" s="139">
        <v>100</v>
      </c>
      <c r="M63" s="133"/>
      <c r="N63" s="133"/>
      <c r="O63" s="133">
        <v>2221.6000000000004</v>
      </c>
      <c r="P63" s="139">
        <v>137.63</v>
      </c>
      <c r="Q63" s="133"/>
      <c r="R63" s="141">
        <v>45</v>
      </c>
      <c r="S63" s="141"/>
      <c r="T63" s="133"/>
      <c r="U63" s="133"/>
      <c r="V63" s="133">
        <v>182.63</v>
      </c>
      <c r="W63" s="176">
        <v>2038.9700000000003</v>
      </c>
      <c r="X63" s="2"/>
      <c r="Y63" s="2"/>
    </row>
    <row r="64" spans="1:26" s="118" customFormat="1" x14ac:dyDescent="0.25">
      <c r="A64" s="2"/>
      <c r="B64" s="2"/>
      <c r="C64" s="2"/>
      <c r="D64" s="2"/>
      <c r="E64" s="175">
        <v>9</v>
      </c>
      <c r="F64" s="132" t="s">
        <v>129</v>
      </c>
      <c r="G64" s="132">
        <v>100.02</v>
      </c>
      <c r="H64" s="133">
        <v>1500.3</v>
      </c>
      <c r="I64" s="133"/>
      <c r="J64" s="133">
        <v>200.04</v>
      </c>
      <c r="K64" s="140"/>
      <c r="L64" s="139">
        <v>100</v>
      </c>
      <c r="M64" s="132"/>
      <c r="N64" s="133"/>
      <c r="O64" s="133">
        <v>1800.34</v>
      </c>
      <c r="P64" s="133">
        <v>104.2</v>
      </c>
      <c r="Q64" s="133"/>
      <c r="R64" s="141"/>
      <c r="S64" s="141"/>
      <c r="T64" s="133"/>
      <c r="U64" s="133"/>
      <c r="V64" s="133">
        <v>104.2</v>
      </c>
      <c r="W64" s="176">
        <v>1696.1399999999999</v>
      </c>
      <c r="X64" s="2"/>
      <c r="Y64" s="2"/>
    </row>
    <row r="65" spans="1:25" s="118" customFormat="1" x14ac:dyDescent="0.25">
      <c r="A65" s="2"/>
      <c r="B65" s="2"/>
      <c r="C65" s="2"/>
      <c r="D65" s="2"/>
      <c r="E65" s="175">
        <v>10</v>
      </c>
      <c r="F65" s="133" t="s">
        <v>130</v>
      </c>
      <c r="G65" s="133">
        <v>100.02</v>
      </c>
      <c r="H65" s="133">
        <v>1500.3</v>
      </c>
      <c r="I65" s="133"/>
      <c r="J65" s="133">
        <v>200.04</v>
      </c>
      <c r="K65" s="140"/>
      <c r="L65" s="139">
        <v>100</v>
      </c>
      <c r="M65" s="133"/>
      <c r="N65" s="133"/>
      <c r="O65" s="133">
        <v>1800.34</v>
      </c>
      <c r="P65" s="133">
        <v>104.2</v>
      </c>
      <c r="Q65" s="133"/>
      <c r="R65" s="141">
        <v>45</v>
      </c>
      <c r="S65" s="141"/>
      <c r="T65" s="133"/>
      <c r="U65" s="133"/>
      <c r="V65" s="133">
        <v>149.19999999999999</v>
      </c>
      <c r="W65" s="176">
        <v>1651.1399999999999</v>
      </c>
      <c r="X65" s="2"/>
      <c r="Y65" s="2"/>
    </row>
    <row r="66" spans="1:25" s="118" customFormat="1" x14ac:dyDescent="0.25">
      <c r="A66" s="2"/>
      <c r="B66" s="2"/>
      <c r="C66" s="2"/>
      <c r="D66" s="2"/>
      <c r="E66" s="175">
        <v>11</v>
      </c>
      <c r="F66" s="149" t="s">
        <v>131</v>
      </c>
      <c r="G66" s="149">
        <v>216.66</v>
      </c>
      <c r="H66" s="133">
        <v>3249.9</v>
      </c>
      <c r="I66" s="133"/>
      <c r="J66" s="150">
        <v>216.66</v>
      </c>
      <c r="K66" s="182"/>
      <c r="L66" s="139">
        <v>100</v>
      </c>
      <c r="M66" s="149"/>
      <c r="N66" s="149"/>
      <c r="O66" s="133">
        <v>3566.56</v>
      </c>
      <c r="P66" s="149">
        <v>283.89999999999998</v>
      </c>
      <c r="Q66" s="149">
        <v>200</v>
      </c>
      <c r="R66" s="151"/>
      <c r="S66" s="151"/>
      <c r="T66" s="149"/>
      <c r="U66" s="149"/>
      <c r="V66" s="133">
        <v>483.9</v>
      </c>
      <c r="W66" s="176">
        <v>3082.66</v>
      </c>
      <c r="X66" s="2"/>
      <c r="Y66" s="2"/>
    </row>
    <row r="67" spans="1:25" s="118" customFormat="1" ht="15.75" thickBot="1" x14ac:dyDescent="0.3">
      <c r="A67" s="2"/>
      <c r="B67" s="2"/>
      <c r="C67" s="2"/>
      <c r="D67" s="2"/>
      <c r="E67" s="175">
        <v>12</v>
      </c>
      <c r="F67" s="149" t="s">
        <v>235</v>
      </c>
      <c r="G67" s="132">
        <v>100.02</v>
      </c>
      <c r="H67" s="133">
        <v>1500.3</v>
      </c>
      <c r="I67" s="133"/>
      <c r="J67" s="150">
        <v>200.04</v>
      </c>
      <c r="K67" s="182"/>
      <c r="L67" s="139">
        <v>250</v>
      </c>
      <c r="M67" s="149"/>
      <c r="N67" s="149"/>
      <c r="O67" s="133">
        <v>1950.34</v>
      </c>
      <c r="P67" s="133">
        <v>113.8</v>
      </c>
      <c r="Q67" s="149"/>
      <c r="R67" s="151"/>
      <c r="S67" s="151"/>
      <c r="T67" s="149"/>
      <c r="U67" s="149"/>
      <c r="V67" s="133">
        <v>113.8</v>
      </c>
      <c r="W67" s="176">
        <v>1836.54</v>
      </c>
      <c r="X67" s="2"/>
      <c r="Y67" s="2"/>
    </row>
    <row r="68" spans="1:25" s="118" customFormat="1" ht="23.25" thickBot="1" x14ac:dyDescent="0.3">
      <c r="A68" s="2"/>
      <c r="B68" s="2"/>
      <c r="C68" s="2"/>
      <c r="D68" s="2"/>
      <c r="E68" s="2"/>
      <c r="F68" s="2"/>
      <c r="G68" s="43"/>
      <c r="H68" s="43"/>
      <c r="I68" s="43"/>
      <c r="J68" s="43"/>
      <c r="K68" s="43"/>
      <c r="L68" s="43"/>
      <c r="M68" s="43"/>
      <c r="N68" s="43"/>
      <c r="O68" s="43"/>
      <c r="P68" s="196"/>
      <c r="Q68" s="43"/>
      <c r="R68" s="186"/>
      <c r="S68" s="186"/>
      <c r="T68" s="185"/>
      <c r="U68" s="43"/>
      <c r="V68" s="43"/>
      <c r="W68" s="185"/>
      <c r="X68" s="126" t="s">
        <v>287</v>
      </c>
      <c r="Y68" s="126" t="s">
        <v>288</v>
      </c>
    </row>
    <row r="69" spans="1:25" s="118" customFormat="1" x14ac:dyDescent="0.25">
      <c r="A69" s="2"/>
      <c r="B69" s="2"/>
      <c r="C69" s="2"/>
      <c r="D69" s="2"/>
      <c r="E69" s="2"/>
      <c r="F69" s="2"/>
      <c r="G69" s="43"/>
      <c r="H69" s="43"/>
      <c r="I69" s="43"/>
      <c r="J69" s="43"/>
      <c r="K69" s="43"/>
      <c r="L69" s="43"/>
      <c r="M69" s="43"/>
      <c r="N69" s="43"/>
      <c r="O69" s="43"/>
      <c r="P69" s="196"/>
      <c r="Q69" s="43"/>
      <c r="R69" s="186"/>
      <c r="S69" s="186"/>
      <c r="T69" s="43"/>
      <c r="U69" s="43"/>
      <c r="V69" s="43"/>
      <c r="W69" s="43"/>
      <c r="X69" s="133">
        <v>100</v>
      </c>
      <c r="Y69" s="133"/>
    </row>
    <row r="73" spans="1:25" s="118" customFormat="1" ht="15.75" thickBot="1" x14ac:dyDescent="0.3">
      <c r="A73" s="2"/>
      <c r="B73" s="2"/>
      <c r="C73" s="2"/>
      <c r="D73" s="2"/>
      <c r="E73" s="2"/>
      <c r="F73" s="2"/>
      <c r="G73" s="43"/>
      <c r="H73" s="43"/>
      <c r="I73" s="43"/>
      <c r="J73" s="43"/>
      <c r="K73" s="43"/>
      <c r="L73" s="43"/>
      <c r="M73" s="43"/>
      <c r="N73" s="43"/>
      <c r="O73" s="43"/>
      <c r="P73" s="196"/>
      <c r="Q73" s="43"/>
      <c r="R73" s="186"/>
      <c r="S73" s="186"/>
      <c r="T73" s="43"/>
      <c r="U73" s="43"/>
      <c r="V73" s="43"/>
      <c r="W73" s="43"/>
      <c r="X73" s="2"/>
      <c r="Y73" s="2"/>
    </row>
    <row r="74" spans="1:25" s="118" customFormat="1" ht="15.75" thickBot="1" x14ac:dyDescent="0.3">
      <c r="A74" s="123" t="s">
        <v>279</v>
      </c>
      <c r="B74" s="67" t="s">
        <v>249</v>
      </c>
      <c r="C74" s="67" t="s">
        <v>250</v>
      </c>
      <c r="D74" s="67" t="s">
        <v>251</v>
      </c>
      <c r="E74" s="2"/>
      <c r="F74" s="2"/>
      <c r="G74" s="43"/>
      <c r="H74" s="43"/>
      <c r="I74" s="43"/>
      <c r="J74" s="43"/>
      <c r="K74" s="43"/>
      <c r="L74" s="43"/>
      <c r="M74" s="43"/>
      <c r="N74" s="43"/>
      <c r="O74" s="43"/>
      <c r="P74" s="196"/>
      <c r="Q74" s="43"/>
      <c r="R74" s="186"/>
      <c r="S74" s="186"/>
      <c r="T74" s="43"/>
      <c r="U74" s="43"/>
      <c r="V74" s="43"/>
      <c r="W74" s="43"/>
      <c r="X74" s="2"/>
      <c r="Y74" s="2"/>
    </row>
    <row r="75" spans="1:25" s="118" customFormat="1" x14ac:dyDescent="0.25">
      <c r="A75" s="4" t="s">
        <v>24</v>
      </c>
      <c r="B75" s="73" t="s">
        <v>58</v>
      </c>
      <c r="C75" s="73" t="s">
        <v>25</v>
      </c>
      <c r="D75" s="73"/>
      <c r="E75" s="2"/>
      <c r="F75" s="2"/>
      <c r="G75" s="43"/>
      <c r="H75" s="43"/>
      <c r="I75" s="43"/>
      <c r="J75" s="43"/>
      <c r="K75" s="43"/>
      <c r="L75" s="43"/>
      <c r="M75" s="43"/>
      <c r="N75" s="43"/>
      <c r="O75" s="43"/>
      <c r="P75" s="196"/>
      <c r="Q75" s="43"/>
      <c r="R75" s="186"/>
      <c r="S75" s="186"/>
      <c r="T75" s="43"/>
      <c r="U75" s="43"/>
      <c r="V75" s="43"/>
      <c r="W75" s="43"/>
      <c r="X75" s="2"/>
      <c r="Y75" s="2"/>
    </row>
    <row r="83" spans="1:26" ht="15.75" thickBot="1" x14ac:dyDescent="0.3"/>
    <row r="85" spans="1:26" s="2" customFormat="1" x14ac:dyDescent="0.25">
      <c r="F85" s="2" t="s">
        <v>289</v>
      </c>
      <c r="G85" s="43"/>
      <c r="H85" s="43"/>
      <c r="I85" s="43"/>
      <c r="J85" s="43"/>
      <c r="K85" s="43"/>
      <c r="L85" s="43"/>
      <c r="M85" s="43"/>
      <c r="N85" s="43"/>
      <c r="O85" s="43"/>
      <c r="P85" s="196"/>
      <c r="Q85" s="43"/>
      <c r="R85" s="186"/>
      <c r="S85" s="186"/>
      <c r="T85" s="43"/>
      <c r="U85" s="43"/>
      <c r="V85" s="43"/>
      <c r="W85" s="43"/>
      <c r="Z85" s="118"/>
    </row>
    <row r="87" spans="1:26" s="2" customFormat="1" ht="15.75" thickBot="1" x14ac:dyDescent="0.3">
      <c r="G87" s="43"/>
      <c r="H87" s="43"/>
      <c r="I87" s="43"/>
      <c r="J87" s="43"/>
      <c r="K87" s="43"/>
      <c r="L87" s="43"/>
      <c r="M87" s="43"/>
      <c r="N87" s="43"/>
      <c r="O87" s="43"/>
      <c r="P87" s="196"/>
      <c r="Q87" s="43"/>
      <c r="R87" s="186"/>
      <c r="S87" s="186"/>
      <c r="T87" s="43"/>
      <c r="U87" s="43"/>
      <c r="V87" s="43"/>
      <c r="W87" s="43"/>
      <c r="Z87" s="118"/>
    </row>
    <row r="88" spans="1:26" s="2" customFormat="1" ht="45.75" thickBot="1" x14ac:dyDescent="0.3">
      <c r="E88" s="124" t="s">
        <v>0</v>
      </c>
      <c r="F88" s="125" t="s">
        <v>280</v>
      </c>
      <c r="G88" s="126" t="s">
        <v>281</v>
      </c>
      <c r="H88" s="126" t="s">
        <v>254</v>
      </c>
      <c r="I88" s="126" t="s">
        <v>257</v>
      </c>
      <c r="J88" s="126" t="s">
        <v>261</v>
      </c>
      <c r="K88" s="126" t="s">
        <v>282</v>
      </c>
      <c r="L88" s="126" t="s">
        <v>283</v>
      </c>
      <c r="M88" s="174" t="s">
        <v>264</v>
      </c>
      <c r="N88" s="126" t="s">
        <v>265</v>
      </c>
      <c r="O88" s="126" t="s">
        <v>55</v>
      </c>
      <c r="P88" s="194" t="s">
        <v>1</v>
      </c>
      <c r="Q88" s="126" t="s">
        <v>284</v>
      </c>
      <c r="R88" s="128" t="s">
        <v>56</v>
      </c>
      <c r="S88" s="128"/>
      <c r="T88" s="126" t="s">
        <v>285</v>
      </c>
      <c r="U88" s="126" t="s">
        <v>286</v>
      </c>
      <c r="V88" s="126" t="s">
        <v>272</v>
      </c>
      <c r="W88" s="126" t="s">
        <v>273</v>
      </c>
      <c r="Z88" s="118"/>
    </row>
    <row r="89" spans="1:26" s="2" customFormat="1" ht="15.75" thickBot="1" x14ac:dyDescent="0.3">
      <c r="A89" s="123" t="s">
        <v>279</v>
      </c>
      <c r="B89" s="67" t="s">
        <v>249</v>
      </c>
      <c r="C89" s="67" t="s">
        <v>250</v>
      </c>
      <c r="D89" s="67" t="s">
        <v>251</v>
      </c>
      <c r="E89" s="148">
        <v>2</v>
      </c>
      <c r="F89" s="149" t="s">
        <v>240</v>
      </c>
      <c r="G89" s="150">
        <v>216.67</v>
      </c>
      <c r="H89" s="132">
        <f>G89*15</f>
        <v>3250.0499999999997</v>
      </c>
      <c r="I89" s="150"/>
      <c r="J89" s="149">
        <v>0</v>
      </c>
      <c r="K89" s="149"/>
      <c r="L89" s="150"/>
      <c r="M89" s="150"/>
      <c r="N89" s="149"/>
      <c r="O89" s="150">
        <f>SUM(H89:N89)</f>
        <v>3250.0499999999997</v>
      </c>
      <c r="P89" s="149">
        <v>249.52</v>
      </c>
      <c r="Q89" s="149"/>
      <c r="R89" s="151"/>
      <c r="S89" s="151"/>
      <c r="T89" s="149"/>
      <c r="U89" s="149"/>
      <c r="V89" s="150">
        <f>SUM(P89:U89)</f>
        <v>249.52</v>
      </c>
      <c r="W89" s="135">
        <f>O89-V89</f>
        <v>3000.5299999999997</v>
      </c>
      <c r="Z89" s="118"/>
    </row>
    <row r="90" spans="1:26" s="2" customFormat="1" ht="9" customHeight="1" x14ac:dyDescent="0.25">
      <c r="A90" s="4" t="s">
        <v>24</v>
      </c>
      <c r="B90" s="73" t="s">
        <v>58</v>
      </c>
      <c r="C90" s="73" t="s">
        <v>25</v>
      </c>
      <c r="D90" s="73"/>
      <c r="G90" s="43"/>
      <c r="H90" s="43"/>
      <c r="I90" s="43"/>
      <c r="J90" s="43"/>
      <c r="K90" s="43"/>
      <c r="L90" s="43"/>
      <c r="M90" s="43"/>
      <c r="N90" s="43"/>
      <c r="O90" s="43"/>
      <c r="P90" s="196"/>
      <c r="Q90" s="43"/>
      <c r="R90" s="186"/>
      <c r="S90" s="186"/>
      <c r="T90" s="43"/>
      <c r="U90" s="43"/>
      <c r="V90" s="43"/>
      <c r="W90" s="43"/>
      <c r="Z90" s="118"/>
    </row>
    <row r="92" spans="1:26" s="2" customFormat="1" x14ac:dyDescent="0.25">
      <c r="G92" s="43"/>
      <c r="H92" s="43"/>
      <c r="I92" s="43"/>
      <c r="J92" s="43"/>
      <c r="K92" s="43"/>
      <c r="L92" s="43"/>
      <c r="M92" s="43"/>
      <c r="N92" s="43"/>
      <c r="O92" s="43"/>
      <c r="P92" s="196"/>
      <c r="Q92" s="43"/>
      <c r="R92" s="186"/>
      <c r="S92" s="186"/>
      <c r="T92" s="43"/>
      <c r="U92" s="43"/>
      <c r="V92" s="43"/>
      <c r="W92" s="43"/>
      <c r="Z92" s="118"/>
    </row>
    <row r="93" spans="1:26" s="2" customFormat="1" x14ac:dyDescent="0.25">
      <c r="G93" s="43"/>
      <c r="H93" s="43"/>
      <c r="I93" s="43"/>
      <c r="J93" s="43"/>
      <c r="K93" s="43"/>
      <c r="L93" s="43"/>
      <c r="M93" s="43"/>
      <c r="N93" s="43"/>
      <c r="O93" s="43"/>
      <c r="P93" s="196"/>
      <c r="Q93" s="43"/>
      <c r="R93" s="186"/>
      <c r="S93" s="186"/>
      <c r="T93" s="43"/>
      <c r="U93" s="43"/>
      <c r="V93" s="43"/>
      <c r="W93" s="43"/>
      <c r="Z93" s="118"/>
    </row>
    <row r="94" spans="1:26" s="2" customFormat="1" x14ac:dyDescent="0.25">
      <c r="G94" s="43"/>
      <c r="H94" s="43"/>
      <c r="I94" s="43"/>
      <c r="J94" s="43"/>
      <c r="K94" s="43"/>
      <c r="L94" s="43"/>
      <c r="M94" s="43"/>
      <c r="N94" s="43"/>
      <c r="O94" s="43"/>
      <c r="P94" s="196"/>
      <c r="Q94" s="43"/>
      <c r="R94" s="186"/>
      <c r="S94" s="186"/>
      <c r="T94" s="43"/>
      <c r="U94" s="43"/>
      <c r="V94" s="43"/>
      <c r="W94" s="43"/>
      <c r="Z94" s="118"/>
    </row>
    <row r="95" spans="1:26" s="2" customFormat="1" x14ac:dyDescent="0.25">
      <c r="G95" s="43"/>
      <c r="H95" s="43"/>
      <c r="I95" s="43"/>
      <c r="J95" s="43"/>
      <c r="K95" s="43"/>
      <c r="L95" s="43"/>
      <c r="M95" s="43"/>
      <c r="N95" s="43"/>
      <c r="O95" s="43"/>
      <c r="P95" s="196"/>
      <c r="Q95" s="43"/>
      <c r="R95" s="186"/>
      <c r="S95" s="186"/>
      <c r="T95" s="43"/>
      <c r="U95" s="43"/>
      <c r="V95" s="43"/>
      <c r="W95" s="43"/>
      <c r="Z95" s="118"/>
    </row>
    <row r="96" spans="1:26" s="2" customFormat="1" x14ac:dyDescent="0.25">
      <c r="G96" s="43"/>
      <c r="H96" s="43"/>
      <c r="I96" s="43"/>
      <c r="J96" s="43"/>
      <c r="K96" s="43"/>
      <c r="L96" s="43"/>
      <c r="M96" s="43"/>
      <c r="N96" s="43"/>
      <c r="O96" s="43"/>
      <c r="P96" s="196"/>
      <c r="Q96" s="43"/>
      <c r="R96" s="186"/>
      <c r="S96" s="186"/>
      <c r="T96" s="43"/>
      <c r="U96" s="43"/>
      <c r="V96" s="43"/>
      <c r="W96" s="43"/>
      <c r="Z96" s="118"/>
    </row>
    <row r="101" spans="5:26" s="2" customFormat="1" ht="15.75" thickBot="1" x14ac:dyDescent="0.3">
      <c r="F101" s="2" t="s">
        <v>289</v>
      </c>
      <c r="G101" s="43"/>
      <c r="H101" s="43"/>
      <c r="I101" s="43"/>
      <c r="J101" s="43"/>
      <c r="K101" s="43"/>
      <c r="L101" s="43"/>
      <c r="M101" s="43"/>
      <c r="N101" s="43"/>
      <c r="O101" s="43"/>
      <c r="P101" s="196"/>
      <c r="Q101" s="43"/>
      <c r="R101" s="186"/>
      <c r="S101" s="186"/>
      <c r="T101" s="43"/>
      <c r="U101" s="43"/>
      <c r="V101" s="43"/>
      <c r="W101" s="43"/>
      <c r="Z101" s="118"/>
    </row>
    <row r="102" spans="5:26" s="2" customFormat="1" ht="45.75" thickBot="1" x14ac:dyDescent="0.3">
      <c r="E102" s="124" t="s">
        <v>0</v>
      </c>
      <c r="F102" s="125" t="s">
        <v>280</v>
      </c>
      <c r="G102" s="126" t="s">
        <v>281</v>
      </c>
      <c r="H102" s="126" t="s">
        <v>254</v>
      </c>
      <c r="I102" s="126" t="s">
        <v>257</v>
      </c>
      <c r="J102" s="126" t="s">
        <v>261</v>
      </c>
      <c r="K102" s="126" t="s">
        <v>282</v>
      </c>
      <c r="L102" s="126" t="s">
        <v>283</v>
      </c>
      <c r="M102" s="174" t="s">
        <v>264</v>
      </c>
      <c r="N102" s="126" t="s">
        <v>265</v>
      </c>
      <c r="O102" s="126" t="s">
        <v>55</v>
      </c>
      <c r="P102" s="194" t="s">
        <v>1</v>
      </c>
      <c r="Q102" s="126" t="s">
        <v>284</v>
      </c>
      <c r="R102" s="128" t="s">
        <v>56</v>
      </c>
      <c r="S102" s="128"/>
      <c r="T102" s="126" t="s">
        <v>285</v>
      </c>
      <c r="U102" s="126" t="s">
        <v>286</v>
      </c>
      <c r="V102" s="126" t="s">
        <v>272</v>
      </c>
      <c r="W102" s="126" t="s">
        <v>273</v>
      </c>
      <c r="Z102" s="118"/>
    </row>
    <row r="103" spans="5:26" s="2" customFormat="1" x14ac:dyDescent="0.25">
      <c r="E103" s="148">
        <v>2</v>
      </c>
      <c r="F103" s="149" t="s">
        <v>293</v>
      </c>
      <c r="G103" s="132">
        <v>104</v>
      </c>
      <c r="H103" s="132">
        <f>G103*15</f>
        <v>1560</v>
      </c>
      <c r="I103" s="131"/>
      <c r="J103" s="133"/>
      <c r="K103" s="132">
        <f>G103*5</f>
        <v>520</v>
      </c>
      <c r="L103" s="131">
        <f>Y69+X69</f>
        <v>100</v>
      </c>
      <c r="M103" s="132"/>
      <c r="N103" s="132">
        <v>0</v>
      </c>
      <c r="O103" s="132">
        <f>SUM(H103:N103)</f>
        <v>2180</v>
      </c>
      <c r="P103" s="131">
        <v>101.88</v>
      </c>
      <c r="Q103" s="149"/>
      <c r="R103" s="151"/>
      <c r="S103" s="151"/>
      <c r="T103" s="149"/>
      <c r="U103" s="149"/>
      <c r="V103" s="150">
        <f>SUM(P103:U103)</f>
        <v>101.88</v>
      </c>
      <c r="W103" s="135">
        <f>O103-V103</f>
        <v>2078.12</v>
      </c>
      <c r="Z103" s="118"/>
    </row>
    <row r="124" spans="5:26" s="2" customFormat="1" ht="15.75" thickBot="1" x14ac:dyDescent="0.3">
      <c r="F124" s="2" t="s">
        <v>289</v>
      </c>
      <c r="G124" s="43"/>
      <c r="H124" s="43"/>
      <c r="I124" s="43"/>
      <c r="J124" s="43"/>
      <c r="K124" s="43"/>
      <c r="L124" s="43"/>
      <c r="M124" s="43"/>
      <c r="N124" s="43"/>
      <c r="O124" s="43"/>
      <c r="P124" s="196"/>
      <c r="Q124" s="43"/>
      <c r="R124" s="186"/>
      <c r="S124" s="186"/>
      <c r="T124" s="43"/>
      <c r="U124" s="43"/>
      <c r="V124" s="43"/>
      <c r="W124" s="43"/>
      <c r="Z124" s="118"/>
    </row>
    <row r="125" spans="5:26" s="2" customFormat="1" ht="45.75" thickBot="1" x14ac:dyDescent="0.3">
      <c r="E125" s="124" t="s">
        <v>0</v>
      </c>
      <c r="F125" s="125" t="s">
        <v>280</v>
      </c>
      <c r="G125" s="126" t="s">
        <v>281</v>
      </c>
      <c r="H125" s="126" t="s">
        <v>254</v>
      </c>
      <c r="I125" s="126" t="s">
        <v>257</v>
      </c>
      <c r="J125" s="126" t="s">
        <v>261</v>
      </c>
      <c r="K125" s="126" t="s">
        <v>282</v>
      </c>
      <c r="L125" s="126" t="s">
        <v>283</v>
      </c>
      <c r="M125" s="174" t="s">
        <v>264</v>
      </c>
      <c r="N125" s="126" t="s">
        <v>265</v>
      </c>
      <c r="O125" s="126" t="s">
        <v>55</v>
      </c>
      <c r="P125" s="194" t="s">
        <v>1</v>
      </c>
      <c r="Q125" s="126"/>
      <c r="R125" s="128" t="s">
        <v>56</v>
      </c>
      <c r="S125" s="128"/>
      <c r="T125" s="126" t="s">
        <v>285</v>
      </c>
      <c r="U125" s="126" t="s">
        <v>286</v>
      </c>
      <c r="V125" s="126" t="s">
        <v>272</v>
      </c>
      <c r="W125" s="126" t="s">
        <v>273</v>
      </c>
      <c r="Z125" s="118"/>
    </row>
    <row r="126" spans="5:26" s="2" customFormat="1" x14ac:dyDescent="0.25">
      <c r="E126" s="148">
        <v>2</v>
      </c>
      <c r="F126" s="149" t="s">
        <v>293</v>
      </c>
      <c r="G126" s="132">
        <v>104</v>
      </c>
      <c r="H126" s="132">
        <f>G126*15</f>
        <v>1560</v>
      </c>
      <c r="I126" s="131"/>
      <c r="J126" s="133"/>
      <c r="K126" s="132">
        <f>G126*5</f>
        <v>520</v>
      </c>
      <c r="L126" s="131">
        <f>Y137+X137</f>
        <v>0</v>
      </c>
      <c r="M126" s="132"/>
      <c r="N126" s="132">
        <v>0</v>
      </c>
      <c r="O126" s="132">
        <f>SUM(H126:N126)</f>
        <v>2080</v>
      </c>
      <c r="P126" s="131">
        <v>101.88</v>
      </c>
      <c r="Q126" s="149"/>
      <c r="R126" s="151"/>
      <c r="S126" s="151"/>
      <c r="T126" s="149"/>
      <c r="U126" s="149"/>
      <c r="V126" s="150">
        <f>SUM(P126:U126)</f>
        <v>101.88</v>
      </c>
      <c r="W126" s="135">
        <f>O126-V126</f>
        <v>1978.12</v>
      </c>
      <c r="Z126" s="118"/>
    </row>
    <row r="127" spans="5:26" s="2" customFormat="1" x14ac:dyDescent="0.25">
      <c r="G127" s="43"/>
      <c r="H127" s="43"/>
      <c r="I127" s="43"/>
      <c r="J127" s="43"/>
      <c r="K127" s="43"/>
      <c r="L127" s="43"/>
      <c r="M127" s="43"/>
      <c r="N127" s="43"/>
      <c r="O127" s="43"/>
      <c r="P127" s="196"/>
      <c r="Q127" s="43"/>
      <c r="R127" s="186"/>
      <c r="S127" s="186"/>
      <c r="T127" s="43"/>
      <c r="U127" s="43"/>
      <c r="V127" s="43"/>
      <c r="W127" s="43"/>
      <c r="Z127" s="118"/>
    </row>
    <row r="132" spans="7:26" s="2" customFormat="1" x14ac:dyDescent="0.25">
      <c r="G132" s="43"/>
      <c r="H132" s="43"/>
      <c r="I132" s="43"/>
      <c r="J132" s="43"/>
      <c r="K132" s="43"/>
      <c r="L132" s="43"/>
      <c r="M132" s="43"/>
      <c r="N132" s="43"/>
      <c r="O132" s="43"/>
      <c r="P132" s="196"/>
      <c r="Q132" s="43"/>
      <c r="R132" s="186"/>
      <c r="S132" s="186"/>
      <c r="T132" s="43"/>
      <c r="U132" s="43"/>
      <c r="V132" s="43"/>
      <c r="W132" s="43"/>
      <c r="Z132" s="118"/>
    </row>
    <row r="133" spans="7:26" s="2" customFormat="1" x14ac:dyDescent="0.25">
      <c r="G133" s="43"/>
      <c r="H133" s="43"/>
      <c r="I133" s="43"/>
      <c r="J133" s="43"/>
      <c r="K133" s="43"/>
      <c r="L133" s="43"/>
      <c r="M133" s="43"/>
      <c r="N133" s="43"/>
      <c r="O133" s="43"/>
      <c r="P133" s="196"/>
      <c r="Q133" s="43"/>
      <c r="R133" s="186"/>
      <c r="S133" s="186"/>
      <c r="T133" s="43"/>
      <c r="U133" s="43"/>
      <c r="V133" s="43"/>
      <c r="W133" s="43"/>
      <c r="Z133" s="118"/>
    </row>
    <row r="134" spans="7:26" s="2" customFormat="1" x14ac:dyDescent="0.25">
      <c r="G134" s="43"/>
      <c r="H134" s="43"/>
      <c r="I134" s="43"/>
      <c r="J134" s="43"/>
      <c r="K134" s="43"/>
      <c r="L134" s="43"/>
      <c r="M134" s="43"/>
      <c r="N134" s="43"/>
      <c r="O134" s="43"/>
      <c r="P134" s="196"/>
      <c r="Q134" s="43"/>
      <c r="R134" s="186"/>
      <c r="S134" s="186"/>
      <c r="T134" s="43"/>
      <c r="U134" s="43"/>
      <c r="V134" s="43"/>
      <c r="W134" s="43"/>
      <c r="Z134" s="118"/>
    </row>
    <row r="139" spans="7:26" s="2" customFormat="1" x14ac:dyDescent="0.25">
      <c r="G139" s="43"/>
      <c r="H139" s="43"/>
      <c r="I139" s="43"/>
      <c r="J139" s="43"/>
      <c r="K139" s="43"/>
      <c r="L139" s="43"/>
      <c r="M139" s="43"/>
      <c r="N139" s="43"/>
      <c r="O139" s="43"/>
      <c r="P139" s="196"/>
      <c r="Q139" s="43"/>
      <c r="R139" s="186"/>
      <c r="S139" s="186"/>
      <c r="T139" s="43"/>
      <c r="U139" s="43"/>
      <c r="V139" s="43"/>
      <c r="W139" s="43"/>
      <c r="Z139" s="118"/>
    </row>
    <row r="140" spans="7:26" s="2" customFormat="1" x14ac:dyDescent="0.25">
      <c r="G140" s="43"/>
      <c r="H140" s="43"/>
      <c r="I140" s="43"/>
      <c r="J140" s="43"/>
      <c r="K140" s="43"/>
      <c r="L140" s="43"/>
      <c r="M140" s="43"/>
      <c r="N140" s="43"/>
      <c r="O140" s="43"/>
      <c r="P140" s="196"/>
      <c r="Q140" s="43"/>
      <c r="R140" s="186"/>
      <c r="S140" s="186"/>
      <c r="T140" s="43"/>
      <c r="U140" s="43"/>
      <c r="V140" s="43"/>
      <c r="W140" s="43"/>
      <c r="Z140" s="118"/>
    </row>
  </sheetData>
  <pageMargins left="0.7" right="0.7" top="0.75" bottom="0.48599999999999999" header="0.3" footer="0.3"/>
  <pageSetup paperSize="190"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8"/>
  <sheetViews>
    <sheetView topLeftCell="G1" workbookViewId="0">
      <selection activeCell="H29" sqref="A29:XFD29"/>
    </sheetView>
  </sheetViews>
  <sheetFormatPr baseColWidth="10" defaultRowHeight="15" x14ac:dyDescent="0.25"/>
  <cols>
    <col min="1" max="1" width="12" style="106" hidden="1" customWidth="1"/>
    <col min="2" max="2" width="11" style="2" hidden="1" customWidth="1"/>
    <col min="3" max="3" width="28.42578125" style="2" hidden="1" customWidth="1"/>
    <col min="4" max="4" width="13" style="2" hidden="1" customWidth="1"/>
    <col min="5" max="5" width="4.85546875" style="46" bestFit="1" customWidth="1"/>
    <col min="6" max="6" width="22.42578125" style="46" bestFit="1" customWidth="1"/>
    <col min="7" max="7" width="9.28515625" style="46" bestFit="1" customWidth="1"/>
    <col min="8" max="9" width="9.28515625" style="46" customWidth="1"/>
    <col min="10" max="10" width="14.7109375" style="46" customWidth="1"/>
    <col min="11" max="11" width="9.28515625" style="46" customWidth="1"/>
    <col min="12" max="12" width="9.7109375" style="46" bestFit="1" customWidth="1"/>
    <col min="13" max="16" width="8.7109375" style="46" bestFit="1" customWidth="1"/>
    <col min="17" max="17" width="7.28515625" style="46" bestFit="1" customWidth="1"/>
    <col min="18" max="19" width="9.28515625" style="46" bestFit="1" customWidth="1"/>
    <col min="20" max="20" width="10" style="46" bestFit="1" customWidth="1"/>
    <col min="21" max="21" width="9.5703125" style="191" customWidth="1"/>
    <col min="22" max="22" width="8.42578125" style="46" bestFit="1" customWidth="1"/>
    <col min="23" max="23" width="7.42578125" style="46" bestFit="1" customWidth="1"/>
    <col min="24" max="26" width="8.7109375" style="46" bestFit="1" customWidth="1"/>
    <col min="27" max="27" width="9.42578125" style="46" bestFit="1" customWidth="1"/>
    <col min="28" max="28" width="9.28515625" style="46" customWidth="1"/>
    <col min="29" max="29" width="9.28515625" style="106" hidden="1" customWidth="1"/>
    <col min="30" max="30" width="8.7109375" style="106" hidden="1" customWidth="1"/>
    <col min="31" max="32" width="9" customWidth="1"/>
  </cols>
  <sheetData>
    <row r="1" spans="1:31" ht="11.25" customHeight="1" x14ac:dyDescent="0.3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4"/>
      <c r="AD1" s="44"/>
    </row>
    <row r="2" spans="1:31" ht="11.25" customHeight="1" x14ac:dyDescent="0.3">
      <c r="A2" s="47"/>
      <c r="B2" s="1"/>
      <c r="C2" s="1"/>
      <c r="D2" s="1"/>
      <c r="E2" s="48"/>
      <c r="F2" s="48"/>
      <c r="G2" s="48"/>
      <c r="H2" s="48"/>
      <c r="I2" s="48"/>
      <c r="J2" s="49" t="s">
        <v>246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8"/>
      <c r="W2" s="48"/>
      <c r="X2" s="48"/>
      <c r="Y2" s="48"/>
      <c r="Z2" s="48"/>
      <c r="AA2" s="48"/>
      <c r="AC2" s="47"/>
      <c r="AD2" s="47"/>
    </row>
    <row r="3" spans="1:31" ht="11.25" customHeight="1" x14ac:dyDescent="0.3">
      <c r="A3" s="50"/>
      <c r="B3" s="1"/>
      <c r="C3" s="1"/>
      <c r="D3" s="1"/>
      <c r="E3" s="51"/>
      <c r="F3" s="51"/>
      <c r="G3" s="51"/>
      <c r="H3" s="51"/>
      <c r="I3" s="51"/>
      <c r="J3" s="52" t="str">
        <f>[5]EVENTUAL!J2</f>
        <v>NOMINA DEL  01 AL 15 DE FEBRERO DEL 2017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189"/>
      <c r="V3" s="51"/>
      <c r="W3" s="51"/>
      <c r="X3" s="51"/>
      <c r="Y3" s="51"/>
      <c r="Z3" s="51"/>
      <c r="AA3" s="51"/>
      <c r="AC3" s="50"/>
      <c r="AD3" s="50"/>
    </row>
    <row r="4" spans="1:31" s="65" customFormat="1" thickBot="1" x14ac:dyDescent="0.35">
      <c r="A4" s="53"/>
      <c r="B4" s="54"/>
      <c r="C4" s="54"/>
      <c r="D4" s="54"/>
      <c r="E4" s="55"/>
      <c r="F4" s="56"/>
      <c r="G4" s="57">
        <v>11301</v>
      </c>
      <c r="H4" s="58">
        <v>13301</v>
      </c>
      <c r="I4" s="58">
        <v>13301</v>
      </c>
      <c r="J4" s="57">
        <v>11301</v>
      </c>
      <c r="K4" s="57">
        <v>15404</v>
      </c>
      <c r="L4" s="57">
        <v>15901</v>
      </c>
      <c r="M4" s="57">
        <v>17103</v>
      </c>
      <c r="N4" s="57">
        <v>17103</v>
      </c>
      <c r="O4" s="57">
        <v>15406</v>
      </c>
      <c r="P4" s="57">
        <v>15903</v>
      </c>
      <c r="Q4" s="59">
        <v>1197</v>
      </c>
      <c r="R4" s="57">
        <v>13204</v>
      </c>
      <c r="S4" s="57">
        <v>13204</v>
      </c>
      <c r="T4" s="57"/>
      <c r="U4" s="190">
        <v>2111.1</v>
      </c>
      <c r="V4" s="57">
        <v>52010102</v>
      </c>
      <c r="W4" s="57">
        <v>52010501</v>
      </c>
      <c r="X4" s="60">
        <v>52010304</v>
      </c>
      <c r="Y4" s="57">
        <v>52010104</v>
      </c>
      <c r="Z4" s="61">
        <v>52010305</v>
      </c>
      <c r="AA4" s="62"/>
      <c r="AB4" s="63"/>
      <c r="AC4" s="64" t="s">
        <v>247</v>
      </c>
      <c r="AD4" s="64" t="s">
        <v>247</v>
      </c>
    </row>
    <row r="5" spans="1:31" ht="37.9" customHeight="1" thickBot="1" x14ac:dyDescent="0.35">
      <c r="A5" s="66" t="s">
        <v>248</v>
      </c>
      <c r="B5" s="67" t="s">
        <v>249</v>
      </c>
      <c r="C5" s="67" t="s">
        <v>250</v>
      </c>
      <c r="D5" s="67" t="s">
        <v>251</v>
      </c>
      <c r="E5" s="68" t="s">
        <v>252</v>
      </c>
      <c r="F5" s="69" t="s">
        <v>253</v>
      </c>
      <c r="G5" s="69" t="s">
        <v>254</v>
      </c>
      <c r="H5" s="70" t="s">
        <v>255</v>
      </c>
      <c r="I5" s="70" t="s">
        <v>255</v>
      </c>
      <c r="J5" s="69" t="s">
        <v>256</v>
      </c>
      <c r="K5" s="70" t="s">
        <v>257</v>
      </c>
      <c r="L5" s="69" t="s">
        <v>258</v>
      </c>
      <c r="M5" s="69" t="s">
        <v>259</v>
      </c>
      <c r="N5" s="69" t="s">
        <v>260</v>
      </c>
      <c r="O5" s="69" t="s">
        <v>261</v>
      </c>
      <c r="P5" s="69" t="s">
        <v>262</v>
      </c>
      <c r="Q5" s="69" t="s">
        <v>263</v>
      </c>
      <c r="R5" s="69" t="s">
        <v>264</v>
      </c>
      <c r="S5" s="69" t="s">
        <v>265</v>
      </c>
      <c r="T5" s="69" t="s">
        <v>266</v>
      </c>
      <c r="U5" s="71" t="s">
        <v>1</v>
      </c>
      <c r="V5" s="69" t="s">
        <v>267</v>
      </c>
      <c r="W5" s="69" t="s">
        <v>268</v>
      </c>
      <c r="X5" s="69" t="s">
        <v>269</v>
      </c>
      <c r="Y5" s="69" t="s">
        <v>270</v>
      </c>
      <c r="Z5" s="69" t="s">
        <v>271</v>
      </c>
      <c r="AA5" s="69" t="s">
        <v>272</v>
      </c>
      <c r="AB5" s="71" t="s">
        <v>273</v>
      </c>
      <c r="AC5" s="66" t="s">
        <v>258</v>
      </c>
      <c r="AD5" s="66" t="s">
        <v>258</v>
      </c>
    </row>
    <row r="6" spans="1:31" ht="12.6" customHeight="1" x14ac:dyDescent="0.3">
      <c r="A6" s="72" t="s">
        <v>2</v>
      </c>
      <c r="B6" s="73" t="s">
        <v>3</v>
      </c>
      <c r="C6" s="73" t="s">
        <v>4</v>
      </c>
      <c r="D6" s="73"/>
      <c r="E6" s="74">
        <v>28</v>
      </c>
      <c r="F6" s="75" t="s">
        <v>5</v>
      </c>
      <c r="G6" s="76">
        <v>3575.07</v>
      </c>
      <c r="H6" s="76"/>
      <c r="I6" s="76"/>
      <c r="J6" s="76">
        <v>160.38</v>
      </c>
      <c r="K6" s="76"/>
      <c r="L6" s="76">
        <f>AC6+AD6</f>
        <v>326.42</v>
      </c>
      <c r="M6" s="76">
        <v>325.51</v>
      </c>
      <c r="N6" s="76">
        <v>310.01</v>
      </c>
      <c r="O6" s="76"/>
      <c r="P6" s="76">
        <v>194.4</v>
      </c>
      <c r="Q6" s="77"/>
      <c r="R6" s="77"/>
      <c r="S6" s="77">
        <f>G6/15*20*(0.25)</f>
        <v>1191.69</v>
      </c>
      <c r="T6" s="78">
        <f t="shared" ref="T6:T15" si="0">SUM(G6:S6)</f>
        <v>6083.48</v>
      </c>
      <c r="U6" s="79">
        <v>752.24</v>
      </c>
      <c r="V6" s="78">
        <v>72.36</v>
      </c>
      <c r="W6" s="78">
        <v>18.55</v>
      </c>
      <c r="X6" s="78"/>
      <c r="Y6" s="78"/>
      <c r="Z6" s="78"/>
      <c r="AA6" s="78">
        <f t="shared" ref="AA6:AA15" si="1">SUM(U6:Z6)</f>
        <v>843.15</v>
      </c>
      <c r="AB6" s="78">
        <f>T6-AA6</f>
        <v>5240.33</v>
      </c>
      <c r="AC6" s="80">
        <v>326.42</v>
      </c>
      <c r="AD6" s="80"/>
    </row>
    <row r="7" spans="1:31" ht="12.6" customHeight="1" x14ac:dyDescent="0.3">
      <c r="A7" s="81" t="s">
        <v>6</v>
      </c>
      <c r="B7" s="73" t="s">
        <v>3</v>
      </c>
      <c r="C7" s="73" t="s">
        <v>7</v>
      </c>
      <c r="D7" s="73"/>
      <c r="E7" s="82">
        <v>31</v>
      </c>
      <c r="F7" s="83" t="s">
        <v>8</v>
      </c>
      <c r="G7" s="76">
        <v>4090.7400000000002</v>
      </c>
      <c r="H7" s="76"/>
      <c r="I7" s="76"/>
      <c r="J7" s="76" t="s">
        <v>274</v>
      </c>
      <c r="K7" s="76"/>
      <c r="L7" s="76">
        <f t="shared" ref="L7:L28" si="2">AC7+AD7</f>
        <v>2303.31</v>
      </c>
      <c r="M7" s="76" t="s">
        <v>274</v>
      </c>
      <c r="N7" s="76" t="s">
        <v>274</v>
      </c>
      <c r="O7" s="76"/>
      <c r="P7" s="76" t="s">
        <v>274</v>
      </c>
      <c r="Q7" s="84"/>
      <c r="R7" s="84"/>
      <c r="S7" s="84"/>
      <c r="T7" s="78">
        <f t="shared" si="0"/>
        <v>6394.05</v>
      </c>
      <c r="U7" s="85">
        <v>818.58</v>
      </c>
      <c r="V7" s="86">
        <v>111.49</v>
      </c>
      <c r="W7" s="86">
        <v>23.41</v>
      </c>
      <c r="X7" s="86"/>
      <c r="Y7" s="86"/>
      <c r="Z7" s="86"/>
      <c r="AA7" s="78">
        <f t="shared" si="1"/>
        <v>953.48</v>
      </c>
      <c r="AB7" s="78">
        <f t="shared" ref="AB7:AB28" si="3">T7-AA7</f>
        <v>5440.57</v>
      </c>
      <c r="AC7" s="80">
        <v>2303.31</v>
      </c>
      <c r="AD7" s="80"/>
    </row>
    <row r="8" spans="1:31" ht="12.6" customHeight="1" x14ac:dyDescent="0.25">
      <c r="A8" s="87" t="s">
        <v>6</v>
      </c>
      <c r="B8" s="73" t="s">
        <v>3</v>
      </c>
      <c r="C8" s="73" t="s">
        <v>9</v>
      </c>
      <c r="D8" s="73"/>
      <c r="E8" s="88">
        <v>82</v>
      </c>
      <c r="F8" s="89" t="s">
        <v>10</v>
      </c>
      <c r="G8" s="76">
        <v>2351.3200000000002</v>
      </c>
      <c r="H8" s="76"/>
      <c r="I8" s="76">
        <f>H8</f>
        <v>0</v>
      </c>
      <c r="J8" s="76">
        <v>125.97</v>
      </c>
      <c r="K8" s="76"/>
      <c r="L8" s="76">
        <f t="shared" si="2"/>
        <v>567.79</v>
      </c>
      <c r="M8" s="76">
        <v>170.14</v>
      </c>
      <c r="N8" s="76">
        <v>170.14</v>
      </c>
      <c r="O8" s="76"/>
      <c r="P8" s="76">
        <v>108</v>
      </c>
      <c r="Q8" s="76"/>
      <c r="R8" s="76"/>
      <c r="S8" s="76"/>
      <c r="T8" s="78">
        <f t="shared" si="0"/>
        <v>3493.3599999999997</v>
      </c>
      <c r="U8" s="90">
        <v>150.88999999999999</v>
      </c>
      <c r="V8" s="91">
        <v>46.93</v>
      </c>
      <c r="W8" s="91">
        <v>18.899999999999999</v>
      </c>
      <c r="X8" s="91"/>
      <c r="Y8" s="91">
        <v>412.98</v>
      </c>
      <c r="Z8" s="91"/>
      <c r="AA8" s="78">
        <f t="shared" si="1"/>
        <v>629.70000000000005</v>
      </c>
      <c r="AB8" s="78">
        <f t="shared" si="3"/>
        <v>2863.66</v>
      </c>
      <c r="AC8" s="80">
        <v>567.79</v>
      </c>
      <c r="AD8" s="80"/>
    </row>
    <row r="9" spans="1:31" ht="12.6" customHeight="1" x14ac:dyDescent="0.3">
      <c r="A9" s="87" t="s">
        <v>6</v>
      </c>
      <c r="B9" s="73" t="s">
        <v>3</v>
      </c>
      <c r="C9" s="73" t="s">
        <v>9</v>
      </c>
      <c r="D9" s="73"/>
      <c r="E9" s="88">
        <v>110</v>
      </c>
      <c r="F9" s="92" t="s">
        <v>275</v>
      </c>
      <c r="G9" s="76">
        <v>2313.23</v>
      </c>
      <c r="H9" s="76"/>
      <c r="I9" s="76"/>
      <c r="J9" s="76">
        <v>160.38</v>
      </c>
      <c r="K9" s="76"/>
      <c r="L9" s="76">
        <f t="shared" si="2"/>
        <v>608.89</v>
      </c>
      <c r="M9" s="76">
        <v>193.79</v>
      </c>
      <c r="N9" s="76">
        <v>193.79</v>
      </c>
      <c r="O9" s="76">
        <f>G9/15*5</f>
        <v>771.07666666666671</v>
      </c>
      <c r="P9" s="76">
        <v>194.4</v>
      </c>
      <c r="Q9" s="76"/>
      <c r="R9" s="76"/>
      <c r="S9" s="76"/>
      <c r="T9" s="78">
        <f t="shared" si="0"/>
        <v>4435.5566666666664</v>
      </c>
      <c r="U9" s="90">
        <v>422.36</v>
      </c>
      <c r="V9" s="91">
        <v>48.11</v>
      </c>
      <c r="W9" s="91">
        <v>19.38</v>
      </c>
      <c r="X9" s="91"/>
      <c r="Y9" s="91">
        <v>624.52</v>
      </c>
      <c r="Z9" s="91"/>
      <c r="AA9" s="78">
        <f t="shared" si="1"/>
        <v>1114.3699999999999</v>
      </c>
      <c r="AB9" s="78">
        <f t="shared" si="3"/>
        <v>3321.1866666666665</v>
      </c>
      <c r="AC9" s="80">
        <v>608.89</v>
      </c>
      <c r="AD9" s="80"/>
    </row>
    <row r="10" spans="1:31" ht="12.6" customHeight="1" x14ac:dyDescent="0.3">
      <c r="A10" s="87" t="s">
        <v>11</v>
      </c>
      <c r="B10" s="73" t="s">
        <v>3</v>
      </c>
      <c r="C10" s="73" t="s">
        <v>12</v>
      </c>
      <c r="D10" s="73"/>
      <c r="E10" s="88">
        <v>121</v>
      </c>
      <c r="F10" s="92" t="s">
        <v>13</v>
      </c>
      <c r="G10" s="76">
        <v>2791.41</v>
      </c>
      <c r="H10" s="76"/>
      <c r="I10" s="76"/>
      <c r="J10" s="76">
        <v>188.44</v>
      </c>
      <c r="K10" s="76"/>
      <c r="L10" s="76">
        <f t="shared" si="2"/>
        <v>1300</v>
      </c>
      <c r="M10" s="76">
        <v>237.33</v>
      </c>
      <c r="N10" s="76">
        <v>237.33</v>
      </c>
      <c r="O10" s="76">
        <f>G10/15*2</f>
        <v>372.18799999999999</v>
      </c>
      <c r="P10" s="76">
        <v>97.2</v>
      </c>
      <c r="Q10" s="76"/>
      <c r="R10" s="76"/>
      <c r="S10" s="76">
        <f>R10*0.28</f>
        <v>0</v>
      </c>
      <c r="T10" s="78">
        <f t="shared" si="0"/>
        <v>5223.8980000000001</v>
      </c>
      <c r="U10" s="90">
        <v>474.03</v>
      </c>
      <c r="V10" s="91">
        <v>50.86</v>
      </c>
      <c r="W10" s="91">
        <v>17.350000000000001</v>
      </c>
      <c r="X10" s="91">
        <v>500</v>
      </c>
      <c r="Y10" s="91"/>
      <c r="Z10" s="91"/>
      <c r="AA10" s="78">
        <f t="shared" si="1"/>
        <v>1042.24</v>
      </c>
      <c r="AB10" s="78">
        <f t="shared" si="3"/>
        <v>4181.6580000000004</v>
      </c>
      <c r="AC10" s="80">
        <v>800</v>
      </c>
      <c r="AD10" s="80">
        <v>500</v>
      </c>
    </row>
    <row r="11" spans="1:31" ht="12.6" customHeight="1" x14ac:dyDescent="0.3">
      <c r="A11" s="87" t="s">
        <v>14</v>
      </c>
      <c r="B11" s="73" t="s">
        <v>3</v>
      </c>
      <c r="C11" s="73" t="s">
        <v>15</v>
      </c>
      <c r="D11" s="73"/>
      <c r="E11" s="88">
        <v>11</v>
      </c>
      <c r="F11" s="93" t="s">
        <v>16</v>
      </c>
      <c r="G11" s="76">
        <v>2156.5499999999997</v>
      </c>
      <c r="H11" s="76"/>
      <c r="I11" s="76">
        <f>H11</f>
        <v>0</v>
      </c>
      <c r="J11" s="76">
        <f>200</f>
        <v>200</v>
      </c>
      <c r="K11" s="76"/>
      <c r="L11" s="76">
        <f t="shared" si="2"/>
        <v>1260.81</v>
      </c>
      <c r="M11" s="76">
        <v>190.88</v>
      </c>
      <c r="N11" s="76">
        <v>190.88</v>
      </c>
      <c r="O11" s="76">
        <f>G11/15*5</f>
        <v>718.84999999999991</v>
      </c>
      <c r="P11" s="76">
        <v>237.61</v>
      </c>
      <c r="Q11" s="76"/>
      <c r="R11" s="76"/>
      <c r="S11" s="76"/>
      <c r="T11" s="78">
        <f t="shared" si="0"/>
        <v>4955.579999999999</v>
      </c>
      <c r="U11" s="90">
        <v>515.54999999999995</v>
      </c>
      <c r="V11" s="91">
        <v>44.28</v>
      </c>
      <c r="W11" s="91">
        <v>19.088200000000001</v>
      </c>
      <c r="X11" s="91">
        <v>500</v>
      </c>
      <c r="Y11" s="91"/>
      <c r="Z11" s="91"/>
      <c r="AA11" s="78">
        <f t="shared" si="1"/>
        <v>1078.9182000000001</v>
      </c>
      <c r="AB11" s="78">
        <f t="shared" si="3"/>
        <v>3876.6617999999989</v>
      </c>
      <c r="AC11" s="80">
        <f>810.81</f>
        <v>810.81</v>
      </c>
      <c r="AD11" s="80">
        <f>150*3</f>
        <v>450</v>
      </c>
    </row>
    <row r="12" spans="1:31" ht="12.6" customHeight="1" x14ac:dyDescent="0.3">
      <c r="A12" s="87" t="s">
        <v>14</v>
      </c>
      <c r="B12" s="73" t="s">
        <v>3</v>
      </c>
      <c r="C12" s="73" t="s">
        <v>17</v>
      </c>
      <c r="D12" s="73"/>
      <c r="E12" s="88">
        <v>21</v>
      </c>
      <c r="F12" s="93" t="s">
        <v>18</v>
      </c>
      <c r="G12" s="76">
        <v>2680.19</v>
      </c>
      <c r="H12" s="76"/>
      <c r="I12" s="76"/>
      <c r="J12" s="76">
        <v>90.53</v>
      </c>
      <c r="K12" s="76"/>
      <c r="L12" s="76">
        <f t="shared" si="2"/>
        <v>1716</v>
      </c>
      <c r="M12" s="76">
        <v>133.56</v>
      </c>
      <c r="N12" s="76">
        <v>133.56</v>
      </c>
      <c r="O12" s="76"/>
      <c r="P12" s="76">
        <v>106.92</v>
      </c>
      <c r="Q12" s="76"/>
      <c r="R12" s="76"/>
      <c r="S12" s="76"/>
      <c r="T12" s="78">
        <f t="shared" si="0"/>
        <v>4860.7600000000011</v>
      </c>
      <c r="U12" s="90">
        <v>498.55</v>
      </c>
      <c r="V12" s="91">
        <v>60.17</v>
      </c>
      <c r="W12" s="91">
        <v>22.26</v>
      </c>
      <c r="X12" s="91"/>
      <c r="Y12" s="91">
        <v>664.51</v>
      </c>
      <c r="Z12" s="91"/>
      <c r="AA12" s="78">
        <f t="shared" si="1"/>
        <v>1245.49</v>
      </c>
      <c r="AB12" s="78">
        <f t="shared" si="3"/>
        <v>3615.2700000000013</v>
      </c>
      <c r="AC12" s="80">
        <v>666</v>
      </c>
      <c r="AD12" s="80">
        <f>150*7</f>
        <v>1050</v>
      </c>
    </row>
    <row r="13" spans="1:31" ht="12.6" customHeight="1" x14ac:dyDescent="0.3">
      <c r="A13" s="87" t="s">
        <v>14</v>
      </c>
      <c r="B13" s="73" t="s">
        <v>3</v>
      </c>
      <c r="C13" s="73" t="s">
        <v>15</v>
      </c>
      <c r="D13" s="73"/>
      <c r="E13" s="88">
        <v>51</v>
      </c>
      <c r="F13" s="94" t="s">
        <v>19</v>
      </c>
      <c r="G13" s="76">
        <f>1956.04</f>
        <v>1956.04</v>
      </c>
      <c r="H13" s="76"/>
      <c r="I13" s="76">
        <f>H13</f>
        <v>0</v>
      </c>
      <c r="J13" s="76">
        <v>191.29</v>
      </c>
      <c r="K13" s="76"/>
      <c r="L13" s="76">
        <f t="shared" si="2"/>
        <v>1530</v>
      </c>
      <c r="M13" s="76">
        <v>86.36</v>
      </c>
      <c r="N13" s="76">
        <v>86.36</v>
      </c>
      <c r="O13" s="76"/>
      <c r="P13" s="76">
        <v>106.92</v>
      </c>
      <c r="Q13" s="76"/>
      <c r="R13" s="76"/>
      <c r="S13" s="76"/>
      <c r="T13" s="78">
        <f t="shared" si="0"/>
        <v>3956.9700000000003</v>
      </c>
      <c r="U13" s="90">
        <v>342.2</v>
      </c>
      <c r="V13" s="91">
        <v>35.729999999999997</v>
      </c>
      <c r="W13" s="91">
        <v>10.06</v>
      </c>
      <c r="X13" s="91">
        <v>0</v>
      </c>
      <c r="Y13" s="91"/>
      <c r="Z13" s="91">
        <v>649.38</v>
      </c>
      <c r="AA13" s="78">
        <f t="shared" si="1"/>
        <v>1037.3699999999999</v>
      </c>
      <c r="AB13" s="78">
        <f t="shared" si="3"/>
        <v>2919.6000000000004</v>
      </c>
      <c r="AC13" s="80">
        <v>1530</v>
      </c>
      <c r="AD13" s="80"/>
    </row>
    <row r="14" spans="1:31" ht="12.6" customHeight="1" x14ac:dyDescent="0.3">
      <c r="A14" s="95" t="s">
        <v>14</v>
      </c>
      <c r="B14" s="73" t="s">
        <v>20</v>
      </c>
      <c r="C14" s="73" t="s">
        <v>17</v>
      </c>
      <c r="D14" s="73"/>
      <c r="E14" s="96">
        <v>112</v>
      </c>
      <c r="F14" s="93" t="s">
        <v>21</v>
      </c>
      <c r="G14" s="97">
        <v>1793.37</v>
      </c>
      <c r="H14" s="76"/>
      <c r="I14" s="76">
        <f>H14</f>
        <v>0</v>
      </c>
      <c r="J14" s="97" t="s">
        <v>276</v>
      </c>
      <c r="K14" s="76"/>
      <c r="L14" s="76">
        <f t="shared" si="2"/>
        <v>624</v>
      </c>
      <c r="M14" s="97">
        <v>172.44</v>
      </c>
      <c r="N14" s="97">
        <v>172.44</v>
      </c>
      <c r="O14" s="198">
        <f>G14/15*2</f>
        <v>239.11599999999999</v>
      </c>
      <c r="P14" s="97">
        <v>106.92</v>
      </c>
      <c r="Q14" s="97"/>
      <c r="R14" s="97"/>
      <c r="S14" s="97"/>
      <c r="T14" s="78">
        <f t="shared" si="0"/>
        <v>3108.2860000000001</v>
      </c>
      <c r="U14" s="98">
        <v>109</v>
      </c>
      <c r="V14" s="99">
        <v>42.82</v>
      </c>
      <c r="W14" s="99"/>
      <c r="X14" s="99"/>
      <c r="Y14" s="99"/>
      <c r="Z14" s="99">
        <v>759.4</v>
      </c>
      <c r="AA14" s="78">
        <f t="shared" si="1"/>
        <v>911.22</v>
      </c>
      <c r="AB14" s="78">
        <f t="shared" si="3"/>
        <v>2197.0659999999998</v>
      </c>
      <c r="AC14" s="100">
        <v>174</v>
      </c>
      <c r="AD14" s="80">
        <f>150*3</f>
        <v>450</v>
      </c>
      <c r="AE14" s="101"/>
    </row>
    <row r="15" spans="1:31" ht="12.6" customHeight="1" x14ac:dyDescent="0.3">
      <c r="A15" s="95" t="s">
        <v>14</v>
      </c>
      <c r="B15" s="73" t="s">
        <v>3</v>
      </c>
      <c r="C15" s="73" t="s">
        <v>17</v>
      </c>
      <c r="D15" s="73"/>
      <c r="E15" s="96">
        <v>118</v>
      </c>
      <c r="F15" s="93" t="s">
        <v>22</v>
      </c>
      <c r="G15" s="97">
        <v>1468.53</v>
      </c>
      <c r="H15" s="97"/>
      <c r="I15" s="76"/>
      <c r="J15" s="97">
        <v>90.53</v>
      </c>
      <c r="K15" s="76"/>
      <c r="L15" s="76">
        <f t="shared" si="2"/>
        <v>850</v>
      </c>
      <c r="M15" s="97">
        <v>121.34</v>
      </c>
      <c r="N15" s="97">
        <v>121.34</v>
      </c>
      <c r="O15" s="97"/>
      <c r="P15" s="97">
        <v>100.6</v>
      </c>
      <c r="Q15" s="97"/>
      <c r="R15" s="97"/>
      <c r="S15" s="97"/>
      <c r="T15" s="78">
        <f t="shared" si="0"/>
        <v>2752.34</v>
      </c>
      <c r="U15" s="98">
        <v>50.02</v>
      </c>
      <c r="V15" s="99">
        <v>30.13</v>
      </c>
      <c r="W15" s="99">
        <v>12.13</v>
      </c>
      <c r="X15" s="102"/>
      <c r="Y15" s="102"/>
      <c r="Z15" s="99"/>
      <c r="AA15" s="78">
        <f t="shared" si="1"/>
        <v>92.28</v>
      </c>
      <c r="AB15" s="78">
        <f t="shared" si="3"/>
        <v>2660.06</v>
      </c>
      <c r="AC15" s="103">
        <v>700</v>
      </c>
      <c r="AD15" s="80">
        <f>150</f>
        <v>150</v>
      </c>
    </row>
    <row r="16" spans="1:31" ht="12.6" customHeight="1" x14ac:dyDescent="0.3">
      <c r="A16" s="87" t="s">
        <v>24</v>
      </c>
      <c r="B16" s="73" t="s">
        <v>20</v>
      </c>
      <c r="C16" s="73" t="s">
        <v>25</v>
      </c>
      <c r="D16" s="73"/>
      <c r="E16" s="88">
        <v>5</v>
      </c>
      <c r="F16" s="92" t="s">
        <v>26</v>
      </c>
      <c r="G16" s="76">
        <v>957.21</v>
      </c>
      <c r="H16" s="76"/>
      <c r="I16" s="76"/>
      <c r="J16" s="76">
        <v>82.3</v>
      </c>
      <c r="K16" s="76"/>
      <c r="L16" s="76">
        <f t="shared" si="2"/>
        <v>224.36</v>
      </c>
      <c r="M16" s="76">
        <v>55.22</v>
      </c>
      <c r="N16" s="76">
        <v>55.22</v>
      </c>
      <c r="O16" s="76"/>
      <c r="P16" s="76">
        <v>97.2</v>
      </c>
      <c r="Q16" s="108">
        <v>110.74</v>
      </c>
      <c r="R16" s="76"/>
      <c r="S16" s="76"/>
      <c r="T16" s="78">
        <f t="shared" ref="T16:T28" si="4">SUM(G16:S16)</f>
        <v>1582.25</v>
      </c>
      <c r="V16" s="91">
        <v>22.84</v>
      </c>
      <c r="W16" s="91"/>
      <c r="X16" s="91"/>
      <c r="Y16" s="91"/>
      <c r="Z16" s="91"/>
      <c r="AA16" s="78">
        <f t="shared" ref="AA16:AA28" si="5">SUM(U16:Z16)</f>
        <v>22.84</v>
      </c>
      <c r="AB16" s="78">
        <f t="shared" si="3"/>
        <v>1559.41</v>
      </c>
      <c r="AC16" s="80">
        <v>224.36</v>
      </c>
      <c r="AD16" s="80"/>
    </row>
    <row r="17" spans="1:30" ht="12.6" customHeight="1" x14ac:dyDescent="0.3">
      <c r="A17" s="87" t="s">
        <v>24</v>
      </c>
      <c r="B17" s="73" t="s">
        <v>20</v>
      </c>
      <c r="C17" s="73" t="s">
        <v>25</v>
      </c>
      <c r="D17" s="73"/>
      <c r="E17" s="88">
        <v>6</v>
      </c>
      <c r="F17" s="92" t="s">
        <v>27</v>
      </c>
      <c r="G17" s="76">
        <v>2121.44</v>
      </c>
      <c r="H17" s="76">
        <f>G17/15*0.5</f>
        <v>70.714666666666673</v>
      </c>
      <c r="I17" s="76">
        <f t="shared" ref="I17:I28" si="6">H17</f>
        <v>70.714666666666673</v>
      </c>
      <c r="J17" s="76">
        <v>188.44</v>
      </c>
      <c r="K17" s="76"/>
      <c r="L17" s="76">
        <f t="shared" si="2"/>
        <v>207.28</v>
      </c>
      <c r="M17" s="76">
        <v>122.39</v>
      </c>
      <c r="N17" s="76">
        <v>122.39</v>
      </c>
      <c r="O17" s="76"/>
      <c r="P17" s="76">
        <v>97.2</v>
      </c>
      <c r="Q17" s="76"/>
      <c r="R17" s="76"/>
      <c r="S17" s="76"/>
      <c r="T17" s="78">
        <f t="shared" si="4"/>
        <v>3000.5693333333334</v>
      </c>
      <c r="U17" s="90">
        <v>77.03</v>
      </c>
      <c r="V17" s="91">
        <v>51.68</v>
      </c>
      <c r="W17" s="91"/>
      <c r="X17" s="91"/>
      <c r="Y17" s="91"/>
      <c r="Z17" s="91">
        <v>586.33000000000004</v>
      </c>
      <c r="AA17" s="78">
        <f t="shared" si="5"/>
        <v>715.04000000000008</v>
      </c>
      <c r="AB17" s="78">
        <f t="shared" si="3"/>
        <v>2285.5293333333334</v>
      </c>
      <c r="AC17" s="80">
        <v>207.28</v>
      </c>
      <c r="AD17" s="80"/>
    </row>
    <row r="18" spans="1:30" ht="12.6" customHeight="1" x14ac:dyDescent="0.25">
      <c r="A18" s="87" t="s">
        <v>24</v>
      </c>
      <c r="B18" s="73" t="s">
        <v>3</v>
      </c>
      <c r="C18" s="73" t="s">
        <v>28</v>
      </c>
      <c r="D18" s="73"/>
      <c r="E18" s="88">
        <v>24</v>
      </c>
      <c r="F18" s="93" t="s">
        <v>29</v>
      </c>
      <c r="G18" s="76">
        <v>4006.16</v>
      </c>
      <c r="H18" s="76">
        <v>200</v>
      </c>
      <c r="I18" s="76">
        <f t="shared" si="6"/>
        <v>200</v>
      </c>
      <c r="J18" s="76" t="s">
        <v>274</v>
      </c>
      <c r="K18" s="76"/>
      <c r="L18" s="76">
        <f t="shared" si="2"/>
        <v>1095</v>
      </c>
      <c r="M18" s="76" t="s">
        <v>274</v>
      </c>
      <c r="N18" s="76" t="s">
        <v>274</v>
      </c>
      <c r="O18" s="76"/>
      <c r="P18" s="76" t="s">
        <v>274</v>
      </c>
      <c r="Q18" s="76"/>
      <c r="R18" s="104">
        <f>G18/15*10</f>
        <v>2670.7733333333335</v>
      </c>
      <c r="S18" s="105"/>
      <c r="T18" s="78">
        <f t="shared" si="4"/>
        <v>8171.9333333333334</v>
      </c>
      <c r="U18" s="90">
        <v>1112.9000000000001</v>
      </c>
      <c r="V18" s="91">
        <v>111.49</v>
      </c>
      <c r="W18" s="91">
        <v>40.369999999999997</v>
      </c>
      <c r="X18" s="91"/>
      <c r="Y18" s="91"/>
      <c r="Z18" s="91"/>
      <c r="AA18" s="78">
        <f t="shared" si="5"/>
        <v>1264.76</v>
      </c>
      <c r="AB18" s="78">
        <f t="shared" si="3"/>
        <v>6907.1733333333332</v>
      </c>
      <c r="AC18" s="80">
        <v>1095</v>
      </c>
      <c r="AD18" s="80"/>
    </row>
    <row r="19" spans="1:30" ht="12.6" customHeight="1" x14ac:dyDescent="0.3">
      <c r="A19" s="87" t="s">
        <v>24</v>
      </c>
      <c r="B19" s="73" t="s">
        <v>3</v>
      </c>
      <c r="C19" s="73" t="s">
        <v>30</v>
      </c>
      <c r="D19" s="73"/>
      <c r="E19" s="88">
        <v>25</v>
      </c>
      <c r="F19" s="93" t="s">
        <v>31</v>
      </c>
      <c r="G19" s="76">
        <v>2712.3399999999997</v>
      </c>
      <c r="H19" s="76">
        <f>G19/15*0.5</f>
        <v>90.411333333333317</v>
      </c>
      <c r="I19" s="76">
        <f t="shared" si="6"/>
        <v>90.411333333333317</v>
      </c>
      <c r="J19" s="76">
        <v>182.34</v>
      </c>
      <c r="K19" s="76"/>
      <c r="L19" s="76">
        <f t="shared" si="2"/>
        <v>150</v>
      </c>
      <c r="M19" s="76">
        <v>139.51</v>
      </c>
      <c r="N19" s="76">
        <v>139.51</v>
      </c>
      <c r="O19" s="76"/>
      <c r="P19" s="76">
        <v>106.92</v>
      </c>
      <c r="Q19" s="76"/>
      <c r="R19" s="76">
        <f>G19/15*5</f>
        <v>904.11333333333323</v>
      </c>
      <c r="S19" s="76"/>
      <c r="T19" s="78">
        <f t="shared" si="4"/>
        <v>4515.5560000000005</v>
      </c>
      <c r="U19" s="90">
        <v>436.69</v>
      </c>
      <c r="V19" s="91">
        <v>64.709999999999994</v>
      </c>
      <c r="W19" s="91">
        <v>23.25</v>
      </c>
      <c r="X19" s="91"/>
      <c r="Y19" s="91"/>
      <c r="Z19" s="91"/>
      <c r="AA19" s="78">
        <f t="shared" si="5"/>
        <v>524.65</v>
      </c>
      <c r="AB19" s="78">
        <f t="shared" si="3"/>
        <v>3990.9060000000004</v>
      </c>
      <c r="AC19" s="80">
        <f>150</f>
        <v>150</v>
      </c>
      <c r="AD19" s="80"/>
    </row>
    <row r="20" spans="1:30" ht="12.6" customHeight="1" x14ac:dyDescent="0.3">
      <c r="A20" s="87" t="s">
        <v>24</v>
      </c>
      <c r="B20" s="73" t="s">
        <v>3</v>
      </c>
      <c r="C20" s="73" t="s">
        <v>30</v>
      </c>
      <c r="D20" s="73"/>
      <c r="E20" s="88">
        <v>27</v>
      </c>
      <c r="F20" s="92" t="s">
        <v>32</v>
      </c>
      <c r="G20" s="76">
        <v>1734.79</v>
      </c>
      <c r="H20" s="76">
        <f>G20/15</f>
        <v>115.65266666666666</v>
      </c>
      <c r="I20" s="76">
        <f t="shared" si="6"/>
        <v>115.65266666666666</v>
      </c>
      <c r="J20" s="76">
        <v>99.51</v>
      </c>
      <c r="K20" s="76"/>
      <c r="L20" s="76">
        <f t="shared" si="2"/>
        <v>1130.6100000000001</v>
      </c>
      <c r="M20" s="76">
        <v>85.38</v>
      </c>
      <c r="N20" s="76">
        <v>85.38</v>
      </c>
      <c r="O20" s="76">
        <f>G20/15*4</f>
        <v>462.61066666666665</v>
      </c>
      <c r="P20" s="76">
        <v>106.92</v>
      </c>
      <c r="Q20" s="76"/>
      <c r="R20" s="76"/>
      <c r="S20" s="76">
        <f>Q20*0.28</f>
        <v>0</v>
      </c>
      <c r="T20" s="78">
        <f t="shared" si="4"/>
        <v>3936.5060000000003</v>
      </c>
      <c r="U20" s="90">
        <v>338.93</v>
      </c>
      <c r="V20" s="91">
        <v>35.33</v>
      </c>
      <c r="W20" s="91">
        <v>14.23</v>
      </c>
      <c r="X20" s="91">
        <v>1000</v>
      </c>
      <c r="Y20" s="91"/>
      <c r="Z20" s="91">
        <v>337.86</v>
      </c>
      <c r="AA20" s="78">
        <f t="shared" si="5"/>
        <v>1726.35</v>
      </c>
      <c r="AB20" s="78">
        <f t="shared" si="3"/>
        <v>2210.1560000000004</v>
      </c>
      <c r="AC20" s="80">
        <v>930.61</v>
      </c>
      <c r="AD20" s="80">
        <v>200</v>
      </c>
    </row>
    <row r="21" spans="1:30" ht="12.6" customHeight="1" x14ac:dyDescent="0.3">
      <c r="A21" s="87" t="s">
        <v>24</v>
      </c>
      <c r="B21" s="73" t="s">
        <v>20</v>
      </c>
      <c r="C21" s="73" t="s">
        <v>33</v>
      </c>
      <c r="D21" s="73"/>
      <c r="E21" s="88">
        <v>32</v>
      </c>
      <c r="F21" s="92" t="s">
        <v>34</v>
      </c>
      <c r="G21" s="76">
        <v>2990.83</v>
      </c>
      <c r="H21" s="76">
        <f>G21/15*0.5</f>
        <v>99.694333333333333</v>
      </c>
      <c r="I21" s="76">
        <f t="shared" si="6"/>
        <v>99.694333333333333</v>
      </c>
      <c r="J21" s="76">
        <v>261.72000000000003</v>
      </c>
      <c r="K21" s="76"/>
      <c r="L21" s="76">
        <f t="shared" si="2"/>
        <v>864.83</v>
      </c>
      <c r="M21" s="76">
        <v>299.08</v>
      </c>
      <c r="N21" s="76">
        <v>299.08</v>
      </c>
      <c r="O21" s="76"/>
      <c r="P21" s="76">
        <v>194.4</v>
      </c>
      <c r="Q21" s="76"/>
      <c r="R21" s="76"/>
      <c r="S21" s="76"/>
      <c r="T21" s="78">
        <f t="shared" si="4"/>
        <v>5109.3286666666663</v>
      </c>
      <c r="U21" s="90">
        <v>544.16</v>
      </c>
      <c r="V21" s="91">
        <v>89.89</v>
      </c>
      <c r="W21" s="91"/>
      <c r="X21" s="91"/>
      <c r="Y21" s="91"/>
      <c r="Z21" s="91"/>
      <c r="AA21" s="78">
        <f t="shared" si="5"/>
        <v>634.04999999999995</v>
      </c>
      <c r="AB21" s="78">
        <f t="shared" si="3"/>
        <v>4475.2786666666661</v>
      </c>
      <c r="AC21" s="80">
        <v>864.83</v>
      </c>
      <c r="AD21" s="80"/>
    </row>
    <row r="22" spans="1:30" ht="12.6" customHeight="1" x14ac:dyDescent="0.3">
      <c r="A22" s="87" t="s">
        <v>24</v>
      </c>
      <c r="B22" s="73" t="s">
        <v>3</v>
      </c>
      <c r="C22" s="73" t="s">
        <v>30</v>
      </c>
      <c r="D22" s="73"/>
      <c r="E22" s="88">
        <v>57</v>
      </c>
      <c r="F22" s="92" t="s">
        <v>35</v>
      </c>
      <c r="G22" s="76">
        <v>1739.5</v>
      </c>
      <c r="H22" s="76"/>
      <c r="I22" s="76">
        <f t="shared" si="6"/>
        <v>0</v>
      </c>
      <c r="J22" s="76">
        <f>200</f>
        <v>200</v>
      </c>
      <c r="K22" s="76"/>
      <c r="L22" s="76">
        <f t="shared" si="2"/>
        <v>0</v>
      </c>
      <c r="M22" s="76">
        <v>78.25</v>
      </c>
      <c r="N22" s="76">
        <v>78.25</v>
      </c>
      <c r="O22" s="76"/>
      <c r="P22" s="76">
        <v>106.92</v>
      </c>
      <c r="Q22" s="76">
        <v>35.35</v>
      </c>
      <c r="R22" s="76"/>
      <c r="S22" s="76"/>
      <c r="T22" s="78">
        <f t="shared" si="4"/>
        <v>2238.27</v>
      </c>
      <c r="U22" s="90"/>
      <c r="V22" s="91">
        <v>32.369999999999997</v>
      </c>
      <c r="W22" s="91">
        <v>13.04</v>
      </c>
      <c r="X22" s="91"/>
      <c r="Y22" s="91"/>
      <c r="Z22" s="91">
        <v>402.61</v>
      </c>
      <c r="AA22" s="78">
        <f t="shared" si="5"/>
        <v>448.02</v>
      </c>
      <c r="AB22" s="78">
        <f t="shared" si="3"/>
        <v>1790.25</v>
      </c>
      <c r="AC22" s="100"/>
      <c r="AD22" s="100"/>
    </row>
    <row r="23" spans="1:30" ht="12.6" customHeight="1" x14ac:dyDescent="0.3">
      <c r="A23" s="87" t="s">
        <v>24</v>
      </c>
      <c r="B23" s="73" t="s">
        <v>3</v>
      </c>
      <c r="C23" s="73" t="s">
        <v>30</v>
      </c>
      <c r="D23" s="73"/>
      <c r="E23" s="88">
        <v>64</v>
      </c>
      <c r="F23" s="92" t="s">
        <v>36</v>
      </c>
      <c r="G23" s="76">
        <f>3385.17</f>
        <v>3385.17</v>
      </c>
      <c r="H23" s="76">
        <f>G23/15*0.5</f>
        <v>112.839</v>
      </c>
      <c r="I23" s="76">
        <f t="shared" si="6"/>
        <v>112.839</v>
      </c>
      <c r="J23" s="76">
        <v>90.53</v>
      </c>
      <c r="K23" s="76"/>
      <c r="L23" s="76">
        <f t="shared" si="2"/>
        <v>88.85</v>
      </c>
      <c r="M23" s="76">
        <v>175.86</v>
      </c>
      <c r="N23" s="76">
        <v>175.86</v>
      </c>
      <c r="O23" s="76"/>
      <c r="P23" s="76">
        <v>99</v>
      </c>
      <c r="Q23" s="76"/>
      <c r="R23" s="76"/>
      <c r="S23" s="76"/>
      <c r="T23" s="78">
        <f t="shared" si="4"/>
        <v>4240.9480000000003</v>
      </c>
      <c r="U23" s="90">
        <v>387.64</v>
      </c>
      <c r="V23" s="91">
        <v>92.41</v>
      </c>
      <c r="W23" s="91">
        <v>29.31</v>
      </c>
      <c r="X23" s="91">
        <v>500</v>
      </c>
      <c r="Y23" s="91"/>
      <c r="Z23" s="91">
        <v>649.38</v>
      </c>
      <c r="AA23" s="78">
        <f t="shared" si="5"/>
        <v>1658.7399999999998</v>
      </c>
      <c r="AB23" s="78">
        <f t="shared" si="3"/>
        <v>2582.2080000000005</v>
      </c>
      <c r="AC23" s="80">
        <f>88.85</f>
        <v>88.85</v>
      </c>
      <c r="AD23" s="80"/>
    </row>
    <row r="24" spans="1:30" ht="12.6" customHeight="1" x14ac:dyDescent="0.3">
      <c r="A24" s="87" t="s">
        <v>24</v>
      </c>
      <c r="B24" s="73" t="s">
        <v>20</v>
      </c>
      <c r="C24" s="73" t="s">
        <v>25</v>
      </c>
      <c r="D24" s="73"/>
      <c r="E24" s="88">
        <v>69</v>
      </c>
      <c r="F24" s="92" t="s">
        <v>37</v>
      </c>
      <c r="G24" s="76">
        <v>2126.12</v>
      </c>
      <c r="H24" s="76"/>
      <c r="I24" s="76">
        <f t="shared" si="6"/>
        <v>0</v>
      </c>
      <c r="J24" s="76">
        <v>188.44</v>
      </c>
      <c r="K24" s="76"/>
      <c r="L24" s="76">
        <f t="shared" si="2"/>
        <v>207.28</v>
      </c>
      <c r="M24" s="76">
        <v>122.66</v>
      </c>
      <c r="N24" s="76">
        <v>122.66</v>
      </c>
      <c r="O24" s="76"/>
      <c r="P24" s="76">
        <v>97.2</v>
      </c>
      <c r="Q24" s="76"/>
      <c r="R24" s="76"/>
      <c r="S24" s="76">
        <f>Q24*0.25</f>
        <v>0</v>
      </c>
      <c r="T24" s="78">
        <f t="shared" si="4"/>
        <v>2864.3599999999997</v>
      </c>
      <c r="U24" s="90">
        <v>62.21</v>
      </c>
      <c r="V24" s="91">
        <v>51.86</v>
      </c>
      <c r="W24" s="91"/>
      <c r="X24" s="91"/>
      <c r="Y24" s="91"/>
      <c r="Z24" s="91"/>
      <c r="AA24" s="78">
        <f t="shared" si="5"/>
        <v>114.07</v>
      </c>
      <c r="AB24" s="78">
        <f t="shared" si="3"/>
        <v>2750.2899999999995</v>
      </c>
      <c r="AC24" s="100">
        <v>207.28</v>
      </c>
      <c r="AD24" s="100"/>
    </row>
    <row r="25" spans="1:30" ht="12.6" customHeight="1" x14ac:dyDescent="0.3">
      <c r="A25" s="87" t="s">
        <v>24</v>
      </c>
      <c r="B25" s="73" t="s">
        <v>3</v>
      </c>
      <c r="C25" s="73" t="s">
        <v>15</v>
      </c>
      <c r="D25" s="73"/>
      <c r="E25" s="88">
        <v>81</v>
      </c>
      <c r="F25" s="92" t="s">
        <v>38</v>
      </c>
      <c r="G25" s="76">
        <v>2549.1999999999998</v>
      </c>
      <c r="H25" s="76"/>
      <c r="I25" s="76">
        <f t="shared" si="6"/>
        <v>0</v>
      </c>
      <c r="J25" s="76">
        <v>166.21</v>
      </c>
      <c r="K25" s="76"/>
      <c r="L25" s="76">
        <f t="shared" si="2"/>
        <v>222.31</v>
      </c>
      <c r="M25" s="76">
        <v>206.9</v>
      </c>
      <c r="N25" s="76">
        <v>206.9</v>
      </c>
      <c r="O25" s="76"/>
      <c r="P25" s="76">
        <v>194.4</v>
      </c>
      <c r="Q25" s="76"/>
      <c r="R25" s="76"/>
      <c r="S25" s="76"/>
      <c r="T25" s="78">
        <f t="shared" si="4"/>
        <v>3545.92</v>
      </c>
      <c r="U25" s="90">
        <v>174.31</v>
      </c>
      <c r="V25" s="91">
        <v>53</v>
      </c>
      <c r="W25" s="91">
        <v>20.69</v>
      </c>
      <c r="X25" s="91"/>
      <c r="Y25" s="91">
        <v>722.47</v>
      </c>
      <c r="Z25" s="91"/>
      <c r="AA25" s="78">
        <f t="shared" si="5"/>
        <v>970.47</v>
      </c>
      <c r="AB25" s="78">
        <f t="shared" si="3"/>
        <v>2575.4499999999998</v>
      </c>
      <c r="AC25" s="80">
        <f>222.31</f>
        <v>222.31</v>
      </c>
      <c r="AD25" s="80"/>
    </row>
    <row r="26" spans="1:30" ht="12.6" customHeight="1" x14ac:dyDescent="0.3">
      <c r="A26" s="87" t="s">
        <v>24</v>
      </c>
      <c r="B26" s="73" t="s">
        <v>20</v>
      </c>
      <c r="C26" s="73" t="s">
        <v>39</v>
      </c>
      <c r="D26" s="73"/>
      <c r="E26" s="88">
        <v>106</v>
      </c>
      <c r="F26" s="92" t="s">
        <v>40</v>
      </c>
      <c r="G26" s="76">
        <v>5719.9</v>
      </c>
      <c r="H26" s="76">
        <f>G26/15</f>
        <v>381.32666666666665</v>
      </c>
      <c r="I26" s="76">
        <f t="shared" si="6"/>
        <v>381.32666666666665</v>
      </c>
      <c r="J26" s="76" t="s">
        <v>274</v>
      </c>
      <c r="K26" s="76"/>
      <c r="L26" s="76">
        <f t="shared" si="2"/>
        <v>4100</v>
      </c>
      <c r="M26" s="76" t="s">
        <v>274</v>
      </c>
      <c r="N26" s="76" t="s">
        <v>274</v>
      </c>
      <c r="O26" s="76">
        <f>G26/15*2</f>
        <v>762.65333333333331</v>
      </c>
      <c r="P26" s="76">
        <v>198.01</v>
      </c>
      <c r="Q26" s="76"/>
      <c r="R26" s="76"/>
      <c r="S26" s="76"/>
      <c r="T26" s="78">
        <f t="shared" si="4"/>
        <v>11543.216666666667</v>
      </c>
      <c r="U26" s="90">
        <v>1946.28</v>
      </c>
      <c r="V26" s="91">
        <v>198.99</v>
      </c>
      <c r="W26" s="91"/>
      <c r="X26" s="91"/>
      <c r="Y26" s="91">
        <v>1240.3399999999999</v>
      </c>
      <c r="Z26" s="91"/>
      <c r="AA26" s="78">
        <f t="shared" si="5"/>
        <v>3385.6099999999997</v>
      </c>
      <c r="AB26" s="78">
        <f t="shared" si="3"/>
        <v>8157.6066666666675</v>
      </c>
      <c r="AC26" s="80">
        <v>4100</v>
      </c>
      <c r="AD26" s="80"/>
    </row>
    <row r="27" spans="1:30" ht="12.6" customHeight="1" x14ac:dyDescent="0.3">
      <c r="A27" s="87" t="s">
        <v>24</v>
      </c>
      <c r="B27" s="73" t="s">
        <v>3</v>
      </c>
      <c r="C27" s="73" t="s">
        <v>30</v>
      </c>
      <c r="D27" s="73"/>
      <c r="E27" s="88">
        <v>108</v>
      </c>
      <c r="F27" s="92" t="s">
        <v>41</v>
      </c>
      <c r="G27" s="76">
        <v>1917.3400000000001</v>
      </c>
      <c r="H27" s="76"/>
      <c r="I27" s="76">
        <f t="shared" si="6"/>
        <v>0</v>
      </c>
      <c r="J27" s="76">
        <v>99.51</v>
      </c>
      <c r="K27" s="76"/>
      <c r="L27" s="76">
        <f t="shared" si="2"/>
        <v>970</v>
      </c>
      <c r="M27" s="76">
        <v>158.34</v>
      </c>
      <c r="N27" s="76">
        <v>158.34</v>
      </c>
      <c r="O27" s="76"/>
      <c r="P27" s="76">
        <v>106.92</v>
      </c>
      <c r="Q27" s="76"/>
      <c r="R27" s="76"/>
      <c r="S27" s="76"/>
      <c r="T27" s="78">
        <f t="shared" si="4"/>
        <v>3410.4500000000007</v>
      </c>
      <c r="U27" s="90">
        <v>141.87</v>
      </c>
      <c r="V27" s="91">
        <v>39.31</v>
      </c>
      <c r="W27" s="91">
        <v>15.83</v>
      </c>
      <c r="X27" s="91"/>
      <c r="Y27" s="91"/>
      <c r="Z27" s="91"/>
      <c r="AA27" s="78">
        <f t="shared" si="5"/>
        <v>197.01000000000002</v>
      </c>
      <c r="AB27" s="78">
        <f t="shared" si="3"/>
        <v>3213.4400000000005</v>
      </c>
      <c r="AC27" s="80">
        <v>970</v>
      </c>
      <c r="AD27" s="80"/>
    </row>
    <row r="28" spans="1:30" ht="12.6" customHeight="1" x14ac:dyDescent="0.3">
      <c r="A28" s="87" t="s">
        <v>24</v>
      </c>
      <c r="B28" s="73" t="s">
        <v>3</v>
      </c>
      <c r="C28" s="73" t="s">
        <v>42</v>
      </c>
      <c r="D28" s="73"/>
      <c r="E28" s="88">
        <v>129</v>
      </c>
      <c r="F28" s="92" t="s">
        <v>43</v>
      </c>
      <c r="G28" s="76">
        <v>5885.07</v>
      </c>
      <c r="H28" s="76">
        <f>G28/15</f>
        <v>392.33799999999997</v>
      </c>
      <c r="I28" s="76">
        <f t="shared" si="6"/>
        <v>392.33799999999997</v>
      </c>
      <c r="J28" s="76">
        <v>0</v>
      </c>
      <c r="K28" s="76"/>
      <c r="L28" s="76">
        <f t="shared" si="2"/>
        <v>500</v>
      </c>
      <c r="M28" s="76">
        <v>399.39</v>
      </c>
      <c r="N28" s="76">
        <v>399.39</v>
      </c>
      <c r="O28" s="76">
        <f>G28/15*2</f>
        <v>784.67599999999993</v>
      </c>
      <c r="P28" s="76">
        <v>100</v>
      </c>
      <c r="Q28" s="76"/>
      <c r="R28" s="76"/>
      <c r="S28" s="76"/>
      <c r="T28" s="78">
        <f t="shared" si="4"/>
        <v>8853.2019999999993</v>
      </c>
      <c r="U28" s="90">
        <v>1343.85</v>
      </c>
      <c r="V28" s="91">
        <v>141.01</v>
      </c>
      <c r="W28" s="91">
        <v>40</v>
      </c>
      <c r="X28" s="91"/>
      <c r="Y28" s="91"/>
      <c r="Z28" s="91"/>
      <c r="AA28" s="78">
        <f t="shared" si="5"/>
        <v>1524.86</v>
      </c>
      <c r="AB28" s="78">
        <f t="shared" si="3"/>
        <v>7328.3419999999996</v>
      </c>
      <c r="AC28" s="80">
        <v>500</v>
      </c>
      <c r="AD28" s="80"/>
    </row>
    <row r="29" spans="1:30" ht="10.5" customHeight="1" x14ac:dyDescent="0.3">
      <c r="A29" s="95" t="s">
        <v>44</v>
      </c>
      <c r="B29" s="73" t="s">
        <v>3</v>
      </c>
      <c r="C29" s="73" t="s">
        <v>45</v>
      </c>
      <c r="D29" s="73"/>
      <c r="E29" s="88">
        <v>42</v>
      </c>
      <c r="F29" s="93" t="s">
        <v>46</v>
      </c>
      <c r="G29" s="97">
        <v>1444.32</v>
      </c>
      <c r="H29" s="76"/>
      <c r="I29" s="76"/>
      <c r="J29" s="76">
        <v>82.3</v>
      </c>
      <c r="K29" s="76"/>
      <c r="L29" s="76">
        <v>541.12</v>
      </c>
      <c r="M29" s="76">
        <v>72.52</v>
      </c>
      <c r="N29" s="76">
        <v>72.52</v>
      </c>
      <c r="O29" s="107"/>
      <c r="P29" s="76">
        <v>106.92</v>
      </c>
      <c r="Q29" s="76">
        <v>10.85</v>
      </c>
      <c r="R29" s="91"/>
      <c r="S29" s="91"/>
      <c r="T29" s="78">
        <f t="shared" ref="T29:T35" si="7">SUM(G29:S29)</f>
        <v>2330.5499999999997</v>
      </c>
      <c r="U29" s="90"/>
      <c r="V29" s="91">
        <v>30.01</v>
      </c>
      <c r="W29" s="86">
        <v>12.08</v>
      </c>
      <c r="X29" s="91"/>
      <c r="Y29" s="91">
        <v>315.89999999999998</v>
      </c>
      <c r="Z29" s="78">
        <v>586.33000000000004</v>
      </c>
      <c r="AA29" s="78">
        <f>SUM(U29:Z29)</f>
        <v>944.32</v>
      </c>
      <c r="AB29" s="78">
        <f>T29-AA29</f>
        <v>1386.2299999999996</v>
      </c>
      <c r="AC29" s="80">
        <v>541.12</v>
      </c>
      <c r="AD29" s="80"/>
    </row>
    <row r="30" spans="1:30" ht="10.5" customHeight="1" x14ac:dyDescent="0.3">
      <c r="A30" s="95" t="s">
        <v>44</v>
      </c>
      <c r="B30" s="73" t="s">
        <v>3</v>
      </c>
      <c r="C30" s="73" t="s">
        <v>25</v>
      </c>
      <c r="D30" s="73"/>
      <c r="E30" s="88">
        <v>54</v>
      </c>
      <c r="F30" s="93" t="s">
        <v>47</v>
      </c>
      <c r="G30" s="97">
        <v>1453.03</v>
      </c>
      <c r="H30" s="76"/>
      <c r="I30" s="76"/>
      <c r="J30" s="76">
        <v>90.53</v>
      </c>
      <c r="K30" s="76"/>
      <c r="L30" s="76">
        <v>216</v>
      </c>
      <c r="M30" s="76">
        <v>74.09</v>
      </c>
      <c r="N30" s="76">
        <v>74.09</v>
      </c>
      <c r="O30" s="108">
        <f>G30/15*2</f>
        <v>193.73733333333334</v>
      </c>
      <c r="P30" s="76">
        <v>106.92</v>
      </c>
      <c r="Q30" s="76">
        <v>34.78</v>
      </c>
      <c r="R30" s="91"/>
      <c r="S30" s="91"/>
      <c r="T30" s="78">
        <f t="shared" si="7"/>
        <v>2243.1773333333335</v>
      </c>
      <c r="U30" s="90"/>
      <c r="V30" s="91">
        <v>30.66</v>
      </c>
      <c r="W30" s="91">
        <v>12.35</v>
      </c>
      <c r="X30" s="91"/>
      <c r="Y30" s="91"/>
      <c r="Z30" s="78"/>
      <c r="AA30" s="78">
        <f t="shared" ref="AA30:AA35" si="8">SUM(U30:Z30)</f>
        <v>43.01</v>
      </c>
      <c r="AB30" s="78">
        <f t="shared" ref="AB30:AB35" si="9">T30-AA30</f>
        <v>2200.1673333333333</v>
      </c>
      <c r="AC30" s="80">
        <v>216</v>
      </c>
      <c r="AD30" s="80"/>
    </row>
    <row r="31" spans="1:30" ht="10.5" customHeight="1" x14ac:dyDescent="0.3">
      <c r="A31" s="95" t="s">
        <v>44</v>
      </c>
      <c r="B31" s="73" t="s">
        <v>3</v>
      </c>
      <c r="C31" s="73" t="s">
        <v>30</v>
      </c>
      <c r="D31" s="73"/>
      <c r="E31" s="88">
        <v>59</v>
      </c>
      <c r="F31" s="93" t="s">
        <v>48</v>
      </c>
      <c r="G31" s="97">
        <v>1531.02</v>
      </c>
      <c r="H31" s="76"/>
      <c r="I31" s="76"/>
      <c r="J31" s="76">
        <v>105.16</v>
      </c>
      <c r="K31" s="76"/>
      <c r="L31" s="76">
        <v>87.29</v>
      </c>
      <c r="M31" s="76">
        <v>78.56</v>
      </c>
      <c r="N31" s="76">
        <v>78.56</v>
      </c>
      <c r="O31" s="107"/>
      <c r="P31" s="76">
        <v>106.92</v>
      </c>
      <c r="Q31" s="76">
        <v>68.150000000000006</v>
      </c>
      <c r="R31" s="91"/>
      <c r="S31" s="91"/>
      <c r="T31" s="78">
        <f t="shared" si="7"/>
        <v>2055.66</v>
      </c>
      <c r="U31" s="90"/>
      <c r="V31" s="91">
        <v>32.5</v>
      </c>
      <c r="W31" s="109">
        <v>13.09</v>
      </c>
      <c r="X31" s="91"/>
      <c r="Y31" s="91"/>
      <c r="Z31" s="78">
        <v>242.48</v>
      </c>
      <c r="AA31" s="78">
        <f t="shared" si="8"/>
        <v>288.07</v>
      </c>
      <c r="AB31" s="78">
        <f t="shared" si="9"/>
        <v>1767.59</v>
      </c>
      <c r="AC31" s="80">
        <v>87.29</v>
      </c>
      <c r="AD31" s="80"/>
    </row>
    <row r="32" spans="1:30" ht="10.5" customHeight="1" x14ac:dyDescent="0.25">
      <c r="A32" s="110" t="s">
        <v>44</v>
      </c>
      <c r="B32" s="73" t="s">
        <v>20</v>
      </c>
      <c r="C32" s="73" t="s">
        <v>30</v>
      </c>
      <c r="D32" s="73"/>
      <c r="E32" s="111">
        <v>61</v>
      </c>
      <c r="F32" s="112" t="s">
        <v>49</v>
      </c>
      <c r="G32" s="113">
        <v>992.21</v>
      </c>
      <c r="H32" s="108"/>
      <c r="I32" s="108"/>
      <c r="J32" s="108">
        <v>82.3</v>
      </c>
      <c r="K32" s="76"/>
      <c r="L32" s="76">
        <v>259.3</v>
      </c>
      <c r="M32" s="108">
        <v>55.64</v>
      </c>
      <c r="N32" s="108">
        <v>55.64</v>
      </c>
      <c r="O32" s="107"/>
      <c r="P32" s="108">
        <v>97.2</v>
      </c>
      <c r="Q32" s="108">
        <v>106.21</v>
      </c>
      <c r="R32" s="90"/>
      <c r="S32" s="90"/>
      <c r="T32" s="78">
        <f t="shared" si="7"/>
        <v>1648.5000000000002</v>
      </c>
      <c r="U32" s="90"/>
      <c r="V32" s="90">
        <v>23.01</v>
      </c>
      <c r="W32" s="109"/>
      <c r="X32" s="90"/>
      <c r="Y32" s="90"/>
      <c r="Z32" s="78"/>
      <c r="AA32" s="78">
        <f t="shared" si="8"/>
        <v>23.01</v>
      </c>
      <c r="AB32" s="78">
        <f t="shared" si="9"/>
        <v>1625.4900000000002</v>
      </c>
      <c r="AC32" s="114">
        <v>259.3</v>
      </c>
      <c r="AD32" s="114"/>
    </row>
    <row r="33" spans="1:30" ht="10.5" customHeight="1" x14ac:dyDescent="0.25">
      <c r="A33" s="95" t="s">
        <v>44</v>
      </c>
      <c r="B33" s="73" t="s">
        <v>3</v>
      </c>
      <c r="C33" s="73" t="s">
        <v>50</v>
      </c>
      <c r="D33" s="73"/>
      <c r="E33" s="88">
        <v>124</v>
      </c>
      <c r="F33" s="93" t="s">
        <v>51</v>
      </c>
      <c r="G33" s="97">
        <v>2801.83</v>
      </c>
      <c r="H33" s="76"/>
      <c r="I33" s="76"/>
      <c r="J33" s="76">
        <v>124</v>
      </c>
      <c r="K33" s="76"/>
      <c r="L33" s="76">
        <v>305</v>
      </c>
      <c r="M33" s="76">
        <v>239.18</v>
      </c>
      <c r="N33" s="76">
        <v>239.18</v>
      </c>
      <c r="O33" s="108">
        <f>G33/15*2</f>
        <v>373.57733333333334</v>
      </c>
      <c r="P33" s="76"/>
      <c r="Q33" s="76"/>
      <c r="R33" s="91"/>
      <c r="S33" s="91"/>
      <c r="T33" s="78">
        <f t="shared" si="7"/>
        <v>4082.7673333333328</v>
      </c>
      <c r="U33" s="90">
        <v>362.33</v>
      </c>
      <c r="V33" s="91">
        <v>67.739999999999995</v>
      </c>
      <c r="W33" s="109">
        <v>40</v>
      </c>
      <c r="X33" s="91">
        <v>500</v>
      </c>
      <c r="Y33" s="91"/>
      <c r="Z33" s="78">
        <v>674.38</v>
      </c>
      <c r="AA33" s="78">
        <f t="shared" si="8"/>
        <v>1644.4499999999998</v>
      </c>
      <c r="AB33" s="78">
        <f t="shared" si="9"/>
        <v>2438.317333333333</v>
      </c>
      <c r="AC33" s="80">
        <v>305</v>
      </c>
      <c r="AD33" s="80"/>
    </row>
    <row r="34" spans="1:30" ht="10.5" customHeight="1" x14ac:dyDescent="0.25">
      <c r="A34" s="95" t="s">
        <v>44</v>
      </c>
      <c r="B34" s="73" t="s">
        <v>20</v>
      </c>
      <c r="C34" s="73" t="s">
        <v>52</v>
      </c>
      <c r="D34" s="73"/>
      <c r="E34" s="88">
        <v>126</v>
      </c>
      <c r="F34" s="93" t="s">
        <v>53</v>
      </c>
      <c r="G34" s="97">
        <v>2887.42</v>
      </c>
      <c r="H34" s="76"/>
      <c r="I34" s="76"/>
      <c r="J34" s="76">
        <v>124</v>
      </c>
      <c r="K34" s="76"/>
      <c r="L34" s="76">
        <v>305</v>
      </c>
      <c r="M34" s="76">
        <v>239.18</v>
      </c>
      <c r="N34" s="76">
        <v>239.18</v>
      </c>
      <c r="O34" s="108">
        <f>G34/15*2</f>
        <v>384.98933333333332</v>
      </c>
      <c r="P34" s="76"/>
      <c r="Q34" s="76"/>
      <c r="R34" s="91"/>
      <c r="S34" s="91"/>
      <c r="T34" s="78">
        <f t="shared" si="7"/>
        <v>4179.7693333333327</v>
      </c>
      <c r="U34" s="90">
        <v>377.85</v>
      </c>
      <c r="V34" s="91">
        <v>67.739999999999995</v>
      </c>
      <c r="W34" s="109"/>
      <c r="X34" s="91"/>
      <c r="Y34" s="91"/>
      <c r="Z34" s="78"/>
      <c r="AA34" s="78">
        <f t="shared" si="8"/>
        <v>445.59000000000003</v>
      </c>
      <c r="AB34" s="78">
        <f t="shared" si="9"/>
        <v>3734.1793333333326</v>
      </c>
      <c r="AC34" s="80">
        <v>305</v>
      </c>
      <c r="AD34" s="80"/>
    </row>
    <row r="35" spans="1:30" ht="10.5" customHeight="1" x14ac:dyDescent="0.25">
      <c r="A35" s="95" t="s">
        <v>44</v>
      </c>
      <c r="B35" s="73" t="s">
        <v>20</v>
      </c>
      <c r="C35" s="73" t="s">
        <v>52</v>
      </c>
      <c r="D35" s="73"/>
      <c r="E35" s="111">
        <v>116</v>
      </c>
      <c r="F35" s="115" t="s">
        <v>54</v>
      </c>
      <c r="G35" s="108">
        <v>2218.63</v>
      </c>
      <c r="H35" s="108"/>
      <c r="I35" s="108">
        <v>0</v>
      </c>
      <c r="J35" s="108"/>
      <c r="K35" s="76"/>
      <c r="L35" s="76">
        <v>305</v>
      </c>
      <c r="M35" s="108">
        <v>213.33</v>
      </c>
      <c r="N35" s="108">
        <v>213.33</v>
      </c>
      <c r="O35" s="108">
        <f>G35/15*2</f>
        <v>295.81733333333335</v>
      </c>
      <c r="P35" s="108">
        <v>97.21</v>
      </c>
      <c r="Q35" s="108"/>
      <c r="R35" s="90"/>
      <c r="S35" s="90"/>
      <c r="T35" s="78">
        <f t="shared" si="7"/>
        <v>3343.3173333333334</v>
      </c>
      <c r="U35" s="90">
        <v>134.57</v>
      </c>
      <c r="V35" s="90">
        <v>55.93</v>
      </c>
      <c r="W35" s="109"/>
      <c r="X35" s="90"/>
      <c r="Y35" s="90"/>
      <c r="Z35" s="78">
        <v>597.29999999999995</v>
      </c>
      <c r="AA35" s="78">
        <f t="shared" si="8"/>
        <v>787.8</v>
      </c>
      <c r="AB35" s="78">
        <f t="shared" si="9"/>
        <v>2555.5173333333332</v>
      </c>
      <c r="AC35" s="80">
        <v>305</v>
      </c>
      <c r="AD35" s="80"/>
    </row>
    <row r="38" spans="1:30" x14ac:dyDescent="0.25">
      <c r="B38" s="106"/>
      <c r="C38" s="106"/>
      <c r="D38" s="106"/>
    </row>
  </sheetData>
  <pageMargins left="0.62992125984251968" right="3.937007874015748E-2" top="0.74803149606299213" bottom="0.74803149606299213" header="0.31496062992125984" footer="0.31496062992125984"/>
  <pageSetup paperSize="190"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109"/>
  <sheetViews>
    <sheetView topLeftCell="E1" zoomScaleNormal="100" workbookViewId="0">
      <selection activeCell="F63" sqref="F63"/>
    </sheetView>
  </sheetViews>
  <sheetFormatPr baseColWidth="10" defaultRowHeight="15" x14ac:dyDescent="0.25"/>
  <cols>
    <col min="1" max="1" width="12.42578125" style="2" hidden="1" customWidth="1"/>
    <col min="2" max="2" width="10.85546875" style="2" hidden="1" customWidth="1"/>
    <col min="3" max="3" width="30.42578125" style="2" hidden="1" customWidth="1"/>
    <col min="4" max="4" width="13" style="2" hidden="1" customWidth="1"/>
    <col min="5" max="5" width="4.140625" style="2" bestFit="1" customWidth="1"/>
    <col min="6" max="6" width="30.140625" style="2" customWidth="1"/>
    <col min="7" max="7" width="6.28515625" style="43" customWidth="1"/>
    <col min="8" max="8" width="7.7109375" style="43" bestFit="1" customWidth="1"/>
    <col min="9" max="9" width="7.5703125" style="43" customWidth="1"/>
    <col min="10" max="10" width="7.28515625" style="43" customWidth="1"/>
    <col min="11" max="11" width="7.85546875" style="43" bestFit="1" customWidth="1"/>
    <col min="12" max="12" width="8.140625" style="43" customWidth="1"/>
    <col min="13" max="13" width="8.7109375" style="43" bestFit="1" customWidth="1"/>
    <col min="14" max="14" width="9.7109375" style="43" customWidth="1"/>
    <col min="15" max="15" width="9.85546875" style="43" customWidth="1"/>
    <col min="16" max="16" width="7" style="196" bestFit="1" customWidth="1"/>
    <col min="17" max="17" width="7.7109375" style="43" bestFit="1" customWidth="1"/>
    <col min="18" max="18" width="7" style="186" customWidth="1"/>
    <col min="19" max="19" width="7.5703125" style="186" bestFit="1" customWidth="1"/>
    <col min="20" max="21" width="7" style="43" bestFit="1" customWidth="1"/>
    <col min="22" max="22" width="9.7109375" style="43" customWidth="1"/>
    <col min="23" max="23" width="7.7109375" style="43" customWidth="1"/>
    <col min="24" max="24" width="13.7109375" style="2" hidden="1" customWidth="1"/>
    <col min="25" max="25" width="18" style="2" hidden="1" customWidth="1"/>
    <col min="26" max="26" width="8.5703125" style="118" customWidth="1"/>
  </cols>
  <sheetData>
    <row r="1" spans="1:26" ht="8.25" customHeight="1" x14ac:dyDescent="0.3">
      <c r="A1" s="1"/>
      <c r="B1" s="1"/>
      <c r="C1" s="1"/>
      <c r="D1" s="1"/>
      <c r="F1" s="116"/>
      <c r="G1" s="116"/>
      <c r="H1" s="116"/>
      <c r="I1" s="117"/>
      <c r="J1" s="116" t="s">
        <v>277</v>
      </c>
      <c r="K1" s="116"/>
      <c r="L1" s="116"/>
      <c r="M1" s="116"/>
      <c r="N1" s="116"/>
      <c r="O1" s="116"/>
      <c r="P1" s="192"/>
      <c r="Q1" s="116"/>
      <c r="R1" s="116"/>
      <c r="S1" s="116"/>
      <c r="T1" s="116"/>
      <c r="U1" s="116"/>
      <c r="V1" s="116"/>
      <c r="W1" s="116"/>
      <c r="X1" s="116"/>
      <c r="Y1" s="116"/>
    </row>
    <row r="2" spans="1:26" ht="8.25" customHeight="1" x14ac:dyDescent="0.3">
      <c r="A2" s="1"/>
      <c r="B2" s="1"/>
      <c r="C2" s="1"/>
      <c r="D2" s="1"/>
      <c r="F2" s="116"/>
      <c r="G2" s="116"/>
      <c r="H2" s="116"/>
      <c r="I2" s="117"/>
      <c r="J2" s="116" t="s">
        <v>291</v>
      </c>
      <c r="K2" s="116"/>
      <c r="L2" s="116"/>
      <c r="M2" s="116"/>
      <c r="N2" s="116"/>
      <c r="O2" s="116"/>
      <c r="P2" s="192"/>
      <c r="Q2" s="116"/>
      <c r="R2" s="116"/>
      <c r="S2" s="116"/>
      <c r="T2" s="116"/>
      <c r="U2" s="116"/>
      <c r="V2" s="116"/>
      <c r="W2" s="116"/>
      <c r="X2" s="116"/>
      <c r="Y2" s="116"/>
    </row>
    <row r="3" spans="1:26" s="65" customFormat="1" ht="8.25" customHeight="1" thickBot="1" x14ac:dyDescent="0.35">
      <c r="A3" s="54"/>
      <c r="B3" s="54"/>
      <c r="C3" s="54"/>
      <c r="D3" s="54"/>
      <c r="E3" s="119"/>
      <c r="F3" s="119"/>
      <c r="G3" s="119"/>
      <c r="H3" s="119">
        <v>12201</v>
      </c>
      <c r="I3" s="119">
        <v>15404</v>
      </c>
      <c r="J3" s="119">
        <v>15406</v>
      </c>
      <c r="K3" s="119">
        <v>13301</v>
      </c>
      <c r="L3" s="119">
        <v>15901</v>
      </c>
      <c r="M3" s="119">
        <v>13204</v>
      </c>
      <c r="N3" s="119">
        <v>13204</v>
      </c>
      <c r="O3" s="119"/>
      <c r="P3" s="193">
        <v>2111.1</v>
      </c>
      <c r="Q3" s="121">
        <v>52010304</v>
      </c>
      <c r="R3" s="119">
        <v>52010102</v>
      </c>
      <c r="S3" s="119"/>
      <c r="T3" s="119">
        <v>52010305</v>
      </c>
      <c r="U3" s="122">
        <v>52010501</v>
      </c>
      <c r="V3" s="119"/>
      <c r="W3" s="119"/>
      <c r="X3" s="119"/>
      <c r="Y3" s="119"/>
    </row>
    <row r="4" spans="1:26" ht="20.25" customHeight="1" thickBot="1" x14ac:dyDescent="0.35">
      <c r="A4" s="123" t="s">
        <v>279</v>
      </c>
      <c r="B4" s="67" t="s">
        <v>249</v>
      </c>
      <c r="C4" s="67" t="s">
        <v>250</v>
      </c>
      <c r="D4" s="67" t="s">
        <v>251</v>
      </c>
      <c r="E4" s="124" t="s">
        <v>0</v>
      </c>
      <c r="F4" s="125" t="s">
        <v>280</v>
      </c>
      <c r="G4" s="126" t="s">
        <v>281</v>
      </c>
      <c r="H4" s="126" t="s">
        <v>254</v>
      </c>
      <c r="I4" s="126" t="s">
        <v>257</v>
      </c>
      <c r="J4" s="126" t="s">
        <v>261</v>
      </c>
      <c r="K4" s="126" t="s">
        <v>282</v>
      </c>
      <c r="L4" s="126" t="s">
        <v>283</v>
      </c>
      <c r="M4" s="127" t="s">
        <v>264</v>
      </c>
      <c r="N4" s="126" t="s">
        <v>265</v>
      </c>
      <c r="O4" s="126" t="s">
        <v>55</v>
      </c>
      <c r="P4" s="194" t="s">
        <v>1</v>
      </c>
      <c r="Q4" s="126" t="s">
        <v>284</v>
      </c>
      <c r="R4" s="128" t="s">
        <v>56</v>
      </c>
      <c r="S4" s="129" t="s">
        <v>270</v>
      </c>
      <c r="T4" s="126" t="s">
        <v>285</v>
      </c>
      <c r="U4" s="126" t="s">
        <v>286</v>
      </c>
      <c r="V4" s="126" t="s">
        <v>272</v>
      </c>
      <c r="W4" s="126" t="s">
        <v>273</v>
      </c>
      <c r="X4" s="126" t="s">
        <v>287</v>
      </c>
      <c r="Y4" s="126" t="s">
        <v>288</v>
      </c>
    </row>
    <row r="5" spans="1:26" s="137" customFormat="1" ht="9" customHeight="1" x14ac:dyDescent="0.3">
      <c r="A5" s="3" t="s">
        <v>57</v>
      </c>
      <c r="B5" s="73" t="s">
        <v>58</v>
      </c>
      <c r="C5" s="73" t="s">
        <v>52</v>
      </c>
      <c r="D5" s="73"/>
      <c r="E5" s="130">
        <v>1</v>
      </c>
      <c r="F5" s="131" t="s">
        <v>59</v>
      </c>
      <c r="G5" s="131">
        <v>204.29</v>
      </c>
      <c r="H5" s="132">
        <f>G5*15</f>
        <v>3064.35</v>
      </c>
      <c r="I5" s="131"/>
      <c r="J5" s="131">
        <f>G5*1</f>
        <v>204.29</v>
      </c>
      <c r="K5" s="195"/>
      <c r="L5" s="131">
        <f>Y5+X5</f>
        <v>670</v>
      </c>
      <c r="M5" s="132"/>
      <c r="N5" s="132"/>
      <c r="O5" s="132">
        <f t="shared" ref="O5:O55" si="0">SUM(H5:N5)</f>
        <v>3938.64</v>
      </c>
      <c r="P5" s="131">
        <v>339.27</v>
      </c>
      <c r="Q5" s="133"/>
      <c r="R5" s="134"/>
      <c r="S5" s="134"/>
      <c r="T5" s="131"/>
      <c r="U5" s="131"/>
      <c r="V5" s="132">
        <f>SUM(P5:U5)</f>
        <v>339.27</v>
      </c>
      <c r="W5" s="135">
        <f>O5-V5</f>
        <v>3599.37</v>
      </c>
      <c r="X5" s="131">
        <v>670</v>
      </c>
      <c r="Y5" s="131"/>
      <c r="Z5" s="136"/>
    </row>
    <row r="6" spans="1:26" s="137" customFormat="1" ht="9" customHeight="1" x14ac:dyDescent="0.25">
      <c r="A6" s="4" t="s">
        <v>57</v>
      </c>
      <c r="B6" s="73" t="s">
        <v>58</v>
      </c>
      <c r="C6" s="73" t="s">
        <v>60</v>
      </c>
      <c r="D6" s="73"/>
      <c r="E6" s="130">
        <v>2</v>
      </c>
      <c r="F6" s="131" t="s">
        <v>61</v>
      </c>
      <c r="G6" s="131">
        <v>111.56</v>
      </c>
      <c r="H6" s="132">
        <f t="shared" ref="H6:H53" si="1">G6*15</f>
        <v>1673.4</v>
      </c>
      <c r="I6" s="131"/>
      <c r="J6" s="131"/>
      <c r="K6" s="131"/>
      <c r="L6" s="131">
        <f t="shared" ref="L6:L55" si="2">Y6+X6</f>
        <v>600</v>
      </c>
      <c r="M6" s="132"/>
      <c r="N6" s="131"/>
      <c r="O6" s="132">
        <f t="shared" si="0"/>
        <v>2273.4</v>
      </c>
      <c r="P6" s="131">
        <v>143.26</v>
      </c>
      <c r="Q6" s="133">
        <v>250</v>
      </c>
      <c r="R6" s="134">
        <v>40.229999999999997</v>
      </c>
      <c r="S6" s="134"/>
      <c r="T6" s="131"/>
      <c r="U6" s="131"/>
      <c r="V6" s="132">
        <f t="shared" ref="V6:V55" si="3">SUM(P6:U6)</f>
        <v>433.49</v>
      </c>
      <c r="W6" s="135">
        <f t="shared" ref="W6:W55" si="4">O6-V6</f>
        <v>1839.91</v>
      </c>
      <c r="X6" s="131">
        <v>600</v>
      </c>
      <c r="Y6" s="131"/>
      <c r="Z6" s="136"/>
    </row>
    <row r="7" spans="1:26" s="137" customFormat="1" ht="9" customHeight="1" x14ac:dyDescent="0.3">
      <c r="A7" s="4" t="s">
        <v>57</v>
      </c>
      <c r="B7" s="73" t="s">
        <v>58</v>
      </c>
      <c r="C7" s="138" t="s">
        <v>62</v>
      </c>
      <c r="D7" s="73"/>
      <c r="E7" s="130">
        <v>3</v>
      </c>
      <c r="F7" s="139" t="s">
        <v>63</v>
      </c>
      <c r="G7" s="132">
        <v>226.66</v>
      </c>
      <c r="H7" s="132">
        <f t="shared" si="1"/>
        <v>3399.9</v>
      </c>
      <c r="I7" s="131"/>
      <c r="J7" s="132"/>
      <c r="K7" s="132">
        <f>G7*3</f>
        <v>679.98</v>
      </c>
      <c r="L7" s="131">
        <f t="shared" si="2"/>
        <v>500</v>
      </c>
      <c r="M7" s="132"/>
      <c r="N7" s="132"/>
      <c r="O7" s="132">
        <f t="shared" si="0"/>
        <v>4579.88</v>
      </c>
      <c r="P7" s="131">
        <v>448.22</v>
      </c>
      <c r="Q7" s="131"/>
      <c r="R7" s="134">
        <v>46.88</v>
      </c>
      <c r="S7" s="134"/>
      <c r="T7" s="131"/>
      <c r="U7" s="131"/>
      <c r="V7" s="132">
        <f t="shared" si="3"/>
        <v>495.1</v>
      </c>
      <c r="W7" s="135">
        <f t="shared" si="4"/>
        <v>4084.78</v>
      </c>
      <c r="X7" s="132">
        <v>500</v>
      </c>
      <c r="Y7" s="132"/>
      <c r="Z7" s="136"/>
    </row>
    <row r="8" spans="1:26" s="137" customFormat="1" ht="9" customHeight="1" x14ac:dyDescent="0.3">
      <c r="A8" s="4" t="s">
        <v>57</v>
      </c>
      <c r="B8" s="73" t="s">
        <v>58</v>
      </c>
      <c r="C8" s="138" t="s">
        <v>65</v>
      </c>
      <c r="D8" s="73"/>
      <c r="E8" s="130">
        <v>4</v>
      </c>
      <c r="F8" s="131" t="s">
        <v>66</v>
      </c>
      <c r="G8" s="131">
        <v>700</v>
      </c>
      <c r="H8" s="132">
        <f t="shared" si="1"/>
        <v>10500</v>
      </c>
      <c r="I8" s="131"/>
      <c r="J8" s="140"/>
      <c r="K8" s="131"/>
      <c r="L8" s="131"/>
      <c r="M8" s="132"/>
      <c r="N8" s="132"/>
      <c r="O8" s="132">
        <f t="shared" si="0"/>
        <v>10500</v>
      </c>
      <c r="P8" s="131">
        <v>1700.91</v>
      </c>
      <c r="Q8" s="132">
        <v>1000</v>
      </c>
      <c r="R8" s="134">
        <v>56.26</v>
      </c>
      <c r="S8" s="134"/>
      <c r="T8" s="131"/>
      <c r="U8" s="131"/>
      <c r="V8" s="132">
        <f t="shared" si="3"/>
        <v>2757.17</v>
      </c>
      <c r="W8" s="135">
        <f t="shared" si="4"/>
        <v>7742.83</v>
      </c>
      <c r="X8" s="131">
        <v>1400</v>
      </c>
      <c r="Y8" s="131"/>
      <c r="Z8" s="136"/>
    </row>
    <row r="9" spans="1:26" s="137" customFormat="1" ht="9" customHeight="1" x14ac:dyDescent="0.3">
      <c r="A9" s="4" t="s">
        <v>14</v>
      </c>
      <c r="B9" s="73" t="s">
        <v>58</v>
      </c>
      <c r="C9" s="73" t="s">
        <v>17</v>
      </c>
      <c r="D9" s="73"/>
      <c r="E9" s="130">
        <v>5</v>
      </c>
      <c r="F9" s="133" t="s">
        <v>64</v>
      </c>
      <c r="G9" s="132">
        <v>104</v>
      </c>
      <c r="H9" s="132">
        <f t="shared" si="1"/>
        <v>1560</v>
      </c>
      <c r="I9" s="131"/>
      <c r="J9" s="133">
        <f>G9*9</f>
        <v>936</v>
      </c>
      <c r="K9" s="133"/>
      <c r="L9" s="131">
        <f t="shared" si="2"/>
        <v>850</v>
      </c>
      <c r="M9" s="132"/>
      <c r="N9" s="133"/>
      <c r="O9" s="132">
        <f t="shared" si="0"/>
        <v>3346</v>
      </c>
      <c r="P9" s="139">
        <v>259.91000000000003</v>
      </c>
      <c r="Q9" s="133">
        <v>0</v>
      </c>
      <c r="R9" s="141"/>
      <c r="S9" s="141"/>
      <c r="T9" s="133"/>
      <c r="U9" s="133"/>
      <c r="V9" s="132">
        <f t="shared" si="3"/>
        <v>259.91000000000003</v>
      </c>
      <c r="W9" s="135">
        <f t="shared" si="4"/>
        <v>3086.09</v>
      </c>
      <c r="X9" s="133">
        <v>850</v>
      </c>
      <c r="Y9" s="133"/>
      <c r="Z9" s="136"/>
    </row>
    <row r="10" spans="1:26" s="137" customFormat="1" ht="9" customHeight="1" x14ac:dyDescent="0.25">
      <c r="A10" s="142" t="s">
        <v>57</v>
      </c>
      <c r="B10" s="73" t="s">
        <v>67</v>
      </c>
      <c r="C10" s="143" t="s">
        <v>68</v>
      </c>
      <c r="D10" s="143"/>
      <c r="E10" s="130">
        <v>6</v>
      </c>
      <c r="F10" s="144" t="s">
        <v>69</v>
      </c>
      <c r="G10" s="133">
        <v>474.93</v>
      </c>
      <c r="H10" s="132">
        <f t="shared" si="1"/>
        <v>7123.95</v>
      </c>
      <c r="I10" s="131"/>
      <c r="J10" s="145"/>
      <c r="K10" s="144"/>
      <c r="L10" s="131">
        <f t="shared" si="2"/>
        <v>0</v>
      </c>
      <c r="M10" s="133"/>
      <c r="N10" s="144"/>
      <c r="O10" s="132">
        <f t="shared" si="0"/>
        <v>7123.95</v>
      </c>
      <c r="P10" s="146">
        <v>974.49</v>
      </c>
      <c r="Q10" s="145"/>
      <c r="R10" s="147"/>
      <c r="S10" s="147"/>
      <c r="T10" s="145"/>
      <c r="U10" s="144"/>
      <c r="V10" s="132">
        <f t="shared" si="3"/>
        <v>974.49</v>
      </c>
      <c r="W10" s="135">
        <f t="shared" si="4"/>
        <v>6149.46</v>
      </c>
      <c r="X10" s="145"/>
      <c r="Y10" s="145"/>
      <c r="Z10" s="136"/>
    </row>
    <row r="11" spans="1:26" s="137" customFormat="1" ht="9" customHeight="1" x14ac:dyDescent="0.3">
      <c r="A11" s="4" t="s">
        <v>24</v>
      </c>
      <c r="B11" s="73" t="s">
        <v>58</v>
      </c>
      <c r="C11" s="73" t="s">
        <v>25</v>
      </c>
      <c r="D11" s="73"/>
      <c r="E11" s="148">
        <v>7</v>
      </c>
      <c r="F11" s="149" t="s">
        <v>239</v>
      </c>
      <c r="G11" s="150">
        <v>166</v>
      </c>
      <c r="H11" s="132">
        <f t="shared" si="1"/>
        <v>2490</v>
      </c>
      <c r="I11" s="131"/>
      <c r="J11" s="149">
        <f>G11*1</f>
        <v>166</v>
      </c>
      <c r="K11" s="149"/>
      <c r="L11" s="131">
        <f t="shared" si="2"/>
        <v>150</v>
      </c>
      <c r="M11" s="150"/>
      <c r="N11" s="149"/>
      <c r="O11" s="132">
        <f t="shared" si="0"/>
        <v>2806</v>
      </c>
      <c r="P11" s="149">
        <v>201.21</v>
      </c>
      <c r="Q11" s="149"/>
      <c r="R11" s="151"/>
      <c r="S11" s="151"/>
      <c r="T11" s="149"/>
      <c r="U11" s="149"/>
      <c r="V11" s="132">
        <f t="shared" si="3"/>
        <v>201.21</v>
      </c>
      <c r="W11" s="135">
        <f t="shared" si="4"/>
        <v>2604.79</v>
      </c>
      <c r="X11" s="133">
        <v>150</v>
      </c>
      <c r="Y11" s="133"/>
      <c r="Z11" s="136"/>
    </row>
    <row r="12" spans="1:26" s="137" customFormat="1" ht="9" customHeight="1" x14ac:dyDescent="0.3">
      <c r="A12" s="160"/>
      <c r="B12" s="161"/>
      <c r="C12" s="161"/>
      <c r="D12" s="161"/>
      <c r="E12" s="148">
        <v>8</v>
      </c>
      <c r="F12" s="149" t="s">
        <v>292</v>
      </c>
      <c r="G12" s="150">
        <v>140</v>
      </c>
      <c r="H12" s="132">
        <f t="shared" si="1"/>
        <v>2100</v>
      </c>
      <c r="I12" s="131"/>
      <c r="J12" s="149">
        <f>G12*2</f>
        <v>280</v>
      </c>
      <c r="K12" s="149">
        <f>G12*7</f>
        <v>980</v>
      </c>
      <c r="L12" s="131">
        <f>Y12+X12</f>
        <v>600</v>
      </c>
      <c r="M12" s="150"/>
      <c r="N12" s="149"/>
      <c r="O12" s="132">
        <f>SUM(H12:N12)</f>
        <v>3960</v>
      </c>
      <c r="P12" s="149">
        <v>346.69</v>
      </c>
      <c r="Q12" s="149"/>
      <c r="R12" s="151"/>
      <c r="S12" s="151"/>
      <c r="T12" s="149"/>
      <c r="U12" s="149"/>
      <c r="V12" s="132">
        <f>SUM(P12:U12)</f>
        <v>346.69</v>
      </c>
      <c r="W12" s="135">
        <f>O12-V12</f>
        <v>3613.31</v>
      </c>
      <c r="X12" s="133">
        <v>100</v>
      </c>
      <c r="Y12" s="133">
        <v>500</v>
      </c>
      <c r="Z12" s="136"/>
    </row>
    <row r="13" spans="1:26" s="137" customFormat="1" ht="9" customHeight="1" x14ac:dyDescent="0.3">
      <c r="A13" s="3" t="s">
        <v>6</v>
      </c>
      <c r="B13" s="73" t="s">
        <v>58</v>
      </c>
      <c r="C13" s="73" t="s">
        <v>70</v>
      </c>
      <c r="D13" s="73"/>
      <c r="E13" s="130">
        <v>1</v>
      </c>
      <c r="F13" s="132" t="s">
        <v>71</v>
      </c>
      <c r="G13" s="132">
        <v>238.14</v>
      </c>
      <c r="H13" s="132">
        <f t="shared" si="1"/>
        <v>3572.1</v>
      </c>
      <c r="I13" s="131"/>
      <c r="J13" s="132">
        <v>0</v>
      </c>
      <c r="K13" s="132">
        <v>0</v>
      </c>
      <c r="L13" s="131">
        <f t="shared" si="2"/>
        <v>128</v>
      </c>
      <c r="M13" s="132"/>
      <c r="N13" s="132"/>
      <c r="O13" s="132">
        <f t="shared" si="0"/>
        <v>3700.1</v>
      </c>
      <c r="P13" s="131">
        <v>301.10000000000002</v>
      </c>
      <c r="Q13" s="152"/>
      <c r="R13" s="153"/>
      <c r="S13" s="153"/>
      <c r="T13" s="132">
        <v>0</v>
      </c>
      <c r="U13" s="132"/>
      <c r="V13" s="132">
        <f t="shared" si="3"/>
        <v>301.10000000000002</v>
      </c>
      <c r="W13" s="135">
        <f t="shared" si="4"/>
        <v>3399</v>
      </c>
      <c r="X13" s="132">
        <v>128</v>
      </c>
      <c r="Y13" s="132"/>
      <c r="Z13" s="136"/>
    </row>
    <row r="14" spans="1:26" s="137" customFormat="1" ht="9" customHeight="1" x14ac:dyDescent="0.3">
      <c r="A14" s="3" t="s">
        <v>6</v>
      </c>
      <c r="B14" s="73" t="s">
        <v>58</v>
      </c>
      <c r="C14" s="73" t="s">
        <v>17</v>
      </c>
      <c r="D14" s="73"/>
      <c r="E14" s="130">
        <v>2</v>
      </c>
      <c r="F14" s="131" t="s">
        <v>72</v>
      </c>
      <c r="G14" s="131">
        <v>138.68</v>
      </c>
      <c r="H14" s="132">
        <f>G14*15</f>
        <v>2080.2000000000003</v>
      </c>
      <c r="I14" s="131"/>
      <c r="J14" s="131"/>
      <c r="K14" s="131"/>
      <c r="L14" s="131">
        <f t="shared" si="2"/>
        <v>878</v>
      </c>
      <c r="M14" s="132"/>
      <c r="N14" s="132"/>
      <c r="O14" s="132">
        <f t="shared" si="0"/>
        <v>2958.2000000000003</v>
      </c>
      <c r="P14" s="131">
        <v>217.77</v>
      </c>
      <c r="Q14" s="133"/>
      <c r="R14" s="134">
        <v>50</v>
      </c>
      <c r="S14" s="134"/>
      <c r="T14" s="131"/>
      <c r="U14" s="131"/>
      <c r="V14" s="132">
        <f t="shared" si="3"/>
        <v>267.77</v>
      </c>
      <c r="W14" s="135">
        <f t="shared" si="4"/>
        <v>2690.4300000000003</v>
      </c>
      <c r="X14" s="131">
        <v>128</v>
      </c>
      <c r="Y14" s="131">
        <f>150*5</f>
        <v>750</v>
      </c>
      <c r="Z14" s="136"/>
    </row>
    <row r="15" spans="1:26" s="137" customFormat="1" ht="9" customHeight="1" x14ac:dyDescent="0.3">
      <c r="A15" s="4" t="s">
        <v>6</v>
      </c>
      <c r="B15" s="73" t="s">
        <v>58</v>
      </c>
      <c r="C15" s="73" t="s">
        <v>73</v>
      </c>
      <c r="D15" s="73"/>
      <c r="E15" s="130">
        <v>3</v>
      </c>
      <c r="F15" s="131" t="s">
        <v>74</v>
      </c>
      <c r="G15" s="131">
        <v>300</v>
      </c>
      <c r="H15" s="132">
        <f t="shared" si="1"/>
        <v>4500</v>
      </c>
      <c r="I15" s="131"/>
      <c r="J15" s="131">
        <v>0</v>
      </c>
      <c r="K15" s="131"/>
      <c r="L15" s="131">
        <f t="shared" si="2"/>
        <v>128</v>
      </c>
      <c r="M15" s="132"/>
      <c r="N15" s="132"/>
      <c r="O15" s="132">
        <f t="shared" si="0"/>
        <v>4628</v>
      </c>
      <c r="P15" s="131">
        <v>456.84</v>
      </c>
      <c r="Q15" s="133"/>
      <c r="R15" s="134"/>
      <c r="S15" s="134"/>
      <c r="T15" s="131"/>
      <c r="U15" s="131"/>
      <c r="V15" s="132">
        <f t="shared" si="3"/>
        <v>456.84</v>
      </c>
      <c r="W15" s="135">
        <f t="shared" si="4"/>
        <v>4171.16</v>
      </c>
      <c r="X15" s="131">
        <v>128</v>
      </c>
      <c r="Y15" s="131"/>
      <c r="Z15" s="136"/>
    </row>
    <row r="16" spans="1:26" s="137" customFormat="1" ht="9" customHeight="1" x14ac:dyDescent="0.3">
      <c r="A16" s="4" t="s">
        <v>6</v>
      </c>
      <c r="B16" s="73" t="s">
        <v>58</v>
      </c>
      <c r="C16" s="73" t="s">
        <v>75</v>
      </c>
      <c r="D16" s="73"/>
      <c r="E16" s="130">
        <v>4</v>
      </c>
      <c r="F16" s="131" t="s">
        <v>76</v>
      </c>
      <c r="G16" s="131">
        <v>695.4</v>
      </c>
      <c r="H16" s="132">
        <f t="shared" si="1"/>
        <v>10431</v>
      </c>
      <c r="I16" s="131"/>
      <c r="J16" s="131"/>
      <c r="K16" s="131"/>
      <c r="L16" s="131">
        <f t="shared" si="2"/>
        <v>0</v>
      </c>
      <c r="M16" s="132"/>
      <c r="N16" s="132"/>
      <c r="O16" s="132">
        <f t="shared" si="0"/>
        <v>10431</v>
      </c>
      <c r="P16" s="131">
        <v>1682.68</v>
      </c>
      <c r="Q16" s="132"/>
      <c r="R16" s="134"/>
      <c r="S16" s="134"/>
      <c r="T16" s="131"/>
      <c r="U16" s="131"/>
      <c r="V16" s="132">
        <f t="shared" si="3"/>
        <v>1682.68</v>
      </c>
      <c r="W16" s="135">
        <f t="shared" si="4"/>
        <v>8748.32</v>
      </c>
      <c r="X16" s="131"/>
      <c r="Y16" s="131"/>
      <c r="Z16" s="136"/>
    </row>
    <row r="17" spans="1:26" s="137" customFormat="1" ht="9" customHeight="1" x14ac:dyDescent="0.3">
      <c r="A17" s="3" t="s">
        <v>6</v>
      </c>
      <c r="B17" s="73" t="s">
        <v>58</v>
      </c>
      <c r="C17" s="73" t="s">
        <v>17</v>
      </c>
      <c r="D17" s="73"/>
      <c r="E17" s="130">
        <v>5</v>
      </c>
      <c r="F17" s="139" t="s">
        <v>77</v>
      </c>
      <c r="G17" s="131">
        <v>160.80000000000001</v>
      </c>
      <c r="H17" s="132">
        <f t="shared" si="1"/>
        <v>2412</v>
      </c>
      <c r="I17" s="131"/>
      <c r="J17" s="131"/>
      <c r="K17" s="131"/>
      <c r="L17" s="131">
        <f t="shared" si="2"/>
        <v>2150</v>
      </c>
      <c r="M17" s="132"/>
      <c r="N17" s="132">
        <v>0</v>
      </c>
      <c r="O17" s="132">
        <f t="shared" si="0"/>
        <v>4562</v>
      </c>
      <c r="P17" s="131">
        <v>445.02</v>
      </c>
      <c r="Q17" s="132"/>
      <c r="R17" s="134">
        <v>37.5</v>
      </c>
      <c r="S17" s="134"/>
      <c r="T17" s="131"/>
      <c r="U17" s="131"/>
      <c r="V17" s="132">
        <f t="shared" si="3"/>
        <v>482.52</v>
      </c>
      <c r="W17" s="135">
        <f t="shared" si="4"/>
        <v>4079.48</v>
      </c>
      <c r="X17" s="131">
        <v>950</v>
      </c>
      <c r="Y17" s="131">
        <v>1200</v>
      </c>
      <c r="Z17" s="136"/>
    </row>
    <row r="18" spans="1:26" s="137" customFormat="1" ht="9" customHeight="1" x14ac:dyDescent="0.3">
      <c r="A18" s="6" t="s">
        <v>6</v>
      </c>
      <c r="B18" s="73" t="s">
        <v>58</v>
      </c>
      <c r="C18" s="154" t="s">
        <v>78</v>
      </c>
      <c r="D18" s="154"/>
      <c r="E18" s="155">
        <v>6</v>
      </c>
      <c r="F18" s="139" t="s">
        <v>79</v>
      </c>
      <c r="G18" s="139">
        <v>121.34</v>
      </c>
      <c r="H18" s="132">
        <f t="shared" si="1"/>
        <v>1820.1000000000001</v>
      </c>
      <c r="I18" s="131"/>
      <c r="J18" s="139"/>
      <c r="K18" s="139"/>
      <c r="L18" s="131">
        <f t="shared" si="2"/>
        <v>380</v>
      </c>
      <c r="M18" s="132"/>
      <c r="N18" s="132"/>
      <c r="O18" s="132">
        <f t="shared" si="0"/>
        <v>2200.1000000000004</v>
      </c>
      <c r="P18" s="139">
        <v>135.29</v>
      </c>
      <c r="Q18" s="133"/>
      <c r="R18" s="156"/>
      <c r="S18" s="156"/>
      <c r="T18" s="139"/>
      <c r="U18" s="139"/>
      <c r="V18" s="132">
        <f t="shared" si="3"/>
        <v>135.29</v>
      </c>
      <c r="W18" s="135">
        <f t="shared" si="4"/>
        <v>2064.8100000000004</v>
      </c>
      <c r="X18" s="139">
        <v>380</v>
      </c>
      <c r="Y18" s="139"/>
      <c r="Z18" s="136"/>
    </row>
    <row r="19" spans="1:26" s="137" customFormat="1" ht="9" customHeight="1" x14ac:dyDescent="0.3">
      <c r="A19" s="4" t="s">
        <v>6</v>
      </c>
      <c r="B19" s="73" t="s">
        <v>58</v>
      </c>
      <c r="C19" s="73" t="s">
        <v>9</v>
      </c>
      <c r="D19" s="73"/>
      <c r="E19" s="130">
        <v>7</v>
      </c>
      <c r="F19" s="133" t="s">
        <v>80</v>
      </c>
      <c r="G19" s="133">
        <v>156</v>
      </c>
      <c r="H19" s="132">
        <f t="shared" si="1"/>
        <v>2340</v>
      </c>
      <c r="I19" s="131"/>
      <c r="J19" s="133">
        <f>G19*3</f>
        <v>468</v>
      </c>
      <c r="K19" s="133"/>
      <c r="L19" s="131">
        <f t="shared" si="2"/>
        <v>180</v>
      </c>
      <c r="M19" s="132"/>
      <c r="N19" s="132"/>
      <c r="O19" s="132">
        <f t="shared" si="0"/>
        <v>2988</v>
      </c>
      <c r="P19" s="139">
        <v>221.01</v>
      </c>
      <c r="Q19" s="133"/>
      <c r="R19" s="141"/>
      <c r="S19" s="141"/>
      <c r="T19" s="133"/>
      <c r="U19" s="133"/>
      <c r="V19" s="132">
        <f t="shared" si="3"/>
        <v>221.01</v>
      </c>
      <c r="W19" s="135">
        <f t="shared" si="4"/>
        <v>2766.99</v>
      </c>
      <c r="X19" s="133">
        <v>180</v>
      </c>
      <c r="Y19" s="133"/>
      <c r="Z19" s="136"/>
    </row>
    <row r="20" spans="1:26" s="137" customFormat="1" ht="9" customHeight="1" x14ac:dyDescent="0.3">
      <c r="A20" s="4" t="s">
        <v>6</v>
      </c>
      <c r="B20" s="73" t="s">
        <v>58</v>
      </c>
      <c r="C20" s="73" t="s">
        <v>17</v>
      </c>
      <c r="D20" s="73"/>
      <c r="E20" s="130">
        <v>8</v>
      </c>
      <c r="F20" s="133" t="s">
        <v>81</v>
      </c>
      <c r="G20" s="157">
        <v>104</v>
      </c>
      <c r="H20" s="132">
        <f>G20*15</f>
        <v>1560</v>
      </c>
      <c r="I20" s="131"/>
      <c r="J20" s="157"/>
      <c r="K20" s="157"/>
      <c r="L20" s="131">
        <f t="shared" si="2"/>
        <v>410</v>
      </c>
      <c r="M20" s="157"/>
      <c r="N20" s="157">
        <v>0</v>
      </c>
      <c r="O20" s="132">
        <f t="shared" si="0"/>
        <v>1970</v>
      </c>
      <c r="P20" s="144">
        <v>115.06</v>
      </c>
      <c r="Q20" s="157">
        <v>0</v>
      </c>
      <c r="R20" s="158"/>
      <c r="S20" s="158"/>
      <c r="T20" s="157"/>
      <c r="U20" s="157"/>
      <c r="V20" s="132">
        <f t="shared" si="3"/>
        <v>115.06</v>
      </c>
      <c r="W20" s="135">
        <f t="shared" si="4"/>
        <v>1854.94</v>
      </c>
      <c r="X20" s="133">
        <v>110</v>
      </c>
      <c r="Y20" s="133">
        <f>150*2</f>
        <v>300</v>
      </c>
      <c r="Z20" s="136"/>
    </row>
    <row r="21" spans="1:26" s="137" customFormat="1" ht="9" customHeight="1" x14ac:dyDescent="0.3">
      <c r="A21" s="4" t="s">
        <v>11</v>
      </c>
      <c r="B21" s="73" t="s">
        <v>58</v>
      </c>
      <c r="C21" s="73" t="s">
        <v>12</v>
      </c>
      <c r="D21" s="73"/>
      <c r="E21" s="130">
        <v>1</v>
      </c>
      <c r="F21" s="133" t="s">
        <v>82</v>
      </c>
      <c r="G21" s="132">
        <v>194.8</v>
      </c>
      <c r="H21" s="132">
        <f t="shared" si="1"/>
        <v>2922</v>
      </c>
      <c r="I21" s="131"/>
      <c r="J21" s="133"/>
      <c r="K21" s="133">
        <f>G21*2</f>
        <v>389.6</v>
      </c>
      <c r="L21" s="131">
        <f>Y21+X21</f>
        <v>1175</v>
      </c>
      <c r="M21" s="132"/>
      <c r="N21" s="132"/>
      <c r="O21" s="132">
        <f t="shared" si="0"/>
        <v>4486.6000000000004</v>
      </c>
      <c r="P21" s="131">
        <v>345.34</v>
      </c>
      <c r="Q21" s="133">
        <v>500</v>
      </c>
      <c r="R21" s="141"/>
      <c r="S21" s="141"/>
      <c r="T21" s="133"/>
      <c r="U21" s="133"/>
      <c r="V21" s="132">
        <f t="shared" si="3"/>
        <v>845.33999999999992</v>
      </c>
      <c r="W21" s="135">
        <f t="shared" si="4"/>
        <v>3641.26</v>
      </c>
      <c r="X21" s="133">
        <v>675</v>
      </c>
      <c r="Y21" s="133">
        <v>500</v>
      </c>
      <c r="Z21" s="136"/>
    </row>
    <row r="22" spans="1:26" s="137" customFormat="1" ht="9" customHeight="1" x14ac:dyDescent="0.3">
      <c r="A22" s="4" t="s">
        <v>11</v>
      </c>
      <c r="B22" s="73" t="s">
        <v>67</v>
      </c>
      <c r="C22" s="73" t="s">
        <v>83</v>
      </c>
      <c r="D22" s="73"/>
      <c r="E22" s="130">
        <v>2</v>
      </c>
      <c r="F22" s="139" t="s">
        <v>84</v>
      </c>
      <c r="G22" s="132">
        <v>605</v>
      </c>
      <c r="H22" s="132">
        <f t="shared" si="1"/>
        <v>9075</v>
      </c>
      <c r="I22" s="131"/>
      <c r="J22" s="131"/>
      <c r="K22" s="139"/>
      <c r="L22" s="131">
        <v>400</v>
      </c>
      <c r="M22" s="132"/>
      <c r="N22" s="139"/>
      <c r="O22" s="132">
        <f t="shared" si="0"/>
        <v>9475</v>
      </c>
      <c r="P22" s="132">
        <v>1476.67</v>
      </c>
      <c r="Q22" s="131"/>
      <c r="R22" s="134">
        <v>237.12</v>
      </c>
      <c r="S22" s="134"/>
      <c r="T22" s="131"/>
      <c r="U22" s="139"/>
      <c r="V22" s="132">
        <f t="shared" si="3"/>
        <v>1713.79</v>
      </c>
      <c r="W22" s="135">
        <f t="shared" si="4"/>
        <v>7761.21</v>
      </c>
      <c r="X22" s="131"/>
      <c r="Y22" s="131"/>
      <c r="Z22" s="136"/>
    </row>
    <row r="23" spans="1:26" s="137" customFormat="1" ht="9" customHeight="1" x14ac:dyDescent="0.3">
      <c r="A23" s="160"/>
      <c r="B23" s="161"/>
      <c r="C23" s="161"/>
      <c r="D23" s="161"/>
      <c r="E23" s="148">
        <v>3</v>
      </c>
      <c r="F23" s="149" t="s">
        <v>132</v>
      </c>
      <c r="G23" s="150">
        <v>300</v>
      </c>
      <c r="H23" s="132">
        <f t="shared" si="1"/>
        <v>4500</v>
      </c>
      <c r="I23" s="131"/>
      <c r="J23" s="150"/>
      <c r="K23" s="149"/>
      <c r="L23" s="131">
        <f t="shared" si="2"/>
        <v>0</v>
      </c>
      <c r="M23" s="150"/>
      <c r="N23" s="149"/>
      <c r="O23" s="132">
        <f t="shared" si="0"/>
        <v>4500</v>
      </c>
      <c r="P23" s="150">
        <v>433.91</v>
      </c>
      <c r="Q23" s="150"/>
      <c r="R23" s="162"/>
      <c r="S23" s="162"/>
      <c r="T23" s="150"/>
      <c r="U23" s="149"/>
      <c r="V23" s="132">
        <f t="shared" si="3"/>
        <v>433.91</v>
      </c>
      <c r="W23" s="135">
        <f t="shared" si="4"/>
        <v>4066.09</v>
      </c>
      <c r="X23" s="150"/>
      <c r="Y23" s="150"/>
      <c r="Z23" s="136"/>
    </row>
    <row r="24" spans="1:26" s="137" customFormat="1" ht="9" customHeight="1" x14ac:dyDescent="0.3">
      <c r="A24" s="4" t="s">
        <v>14</v>
      </c>
      <c r="B24" s="73" t="s">
        <v>85</v>
      </c>
      <c r="C24" s="73" t="s">
        <v>78</v>
      </c>
      <c r="D24" s="73"/>
      <c r="E24" s="130">
        <v>1</v>
      </c>
      <c r="F24" s="131" t="s">
        <v>86</v>
      </c>
      <c r="G24" s="139">
        <v>200.7</v>
      </c>
      <c r="H24" s="132">
        <f t="shared" si="1"/>
        <v>3010.5</v>
      </c>
      <c r="I24" s="131"/>
      <c r="J24" s="139"/>
      <c r="K24" s="139">
        <f>G24*6</f>
        <v>1204.1999999999998</v>
      </c>
      <c r="L24" s="131">
        <f t="shared" si="2"/>
        <v>1100</v>
      </c>
      <c r="M24" s="133"/>
      <c r="N24" s="133"/>
      <c r="O24" s="132">
        <f t="shared" si="0"/>
        <v>5314.7</v>
      </c>
      <c r="P24" s="139">
        <v>588.03</v>
      </c>
      <c r="Q24" s="133">
        <v>460</v>
      </c>
      <c r="R24" s="156"/>
      <c r="S24" s="156"/>
      <c r="T24" s="139">
        <v>0</v>
      </c>
      <c r="U24" s="139">
        <v>28.05</v>
      </c>
      <c r="V24" s="132">
        <f t="shared" si="3"/>
        <v>1076.08</v>
      </c>
      <c r="W24" s="135">
        <f t="shared" si="4"/>
        <v>4238.62</v>
      </c>
      <c r="X24" s="139">
        <v>1100</v>
      </c>
      <c r="Y24" s="139"/>
      <c r="Z24" s="136"/>
    </row>
    <row r="25" spans="1:26" s="137" customFormat="1" ht="9" customHeight="1" x14ac:dyDescent="0.3">
      <c r="A25" s="4" t="s">
        <v>14</v>
      </c>
      <c r="B25" s="73" t="s">
        <v>58</v>
      </c>
      <c r="C25" s="73" t="s">
        <v>17</v>
      </c>
      <c r="D25" s="73"/>
      <c r="E25" s="130">
        <v>2</v>
      </c>
      <c r="F25" s="133" t="s">
        <v>87</v>
      </c>
      <c r="G25" s="133">
        <v>104</v>
      </c>
      <c r="H25" s="132">
        <f>G25*14</f>
        <v>1456</v>
      </c>
      <c r="I25" s="131"/>
      <c r="J25" s="133"/>
      <c r="K25" s="133">
        <v>0</v>
      </c>
      <c r="L25" s="131">
        <f t="shared" si="2"/>
        <v>250</v>
      </c>
      <c r="M25" s="133"/>
      <c r="N25" s="133"/>
      <c r="O25" s="132">
        <f t="shared" si="0"/>
        <v>1706</v>
      </c>
      <c r="P25" s="139">
        <v>98.7</v>
      </c>
      <c r="Q25" s="133"/>
      <c r="R25" s="141"/>
      <c r="S25" s="141"/>
      <c r="T25" s="133"/>
      <c r="U25" s="133"/>
      <c r="V25" s="132">
        <f t="shared" si="3"/>
        <v>98.7</v>
      </c>
      <c r="W25" s="135">
        <f t="shared" si="4"/>
        <v>1607.3</v>
      </c>
      <c r="X25" s="133">
        <v>100</v>
      </c>
      <c r="Y25" s="133">
        <v>150</v>
      </c>
      <c r="Z25" s="136"/>
    </row>
    <row r="26" spans="1:26" s="137" customFormat="1" ht="9" customHeight="1" x14ac:dyDescent="0.3">
      <c r="A26" s="4" t="s">
        <v>24</v>
      </c>
      <c r="B26" s="73" t="s">
        <v>58</v>
      </c>
      <c r="C26" s="73" t="s">
        <v>118</v>
      </c>
      <c r="D26" s="73"/>
      <c r="E26" s="130">
        <v>3</v>
      </c>
      <c r="F26" s="139" t="s">
        <v>232</v>
      </c>
      <c r="G26" s="139">
        <v>104</v>
      </c>
      <c r="H26" s="132">
        <f>G26*14</f>
        <v>1456</v>
      </c>
      <c r="I26" s="131"/>
      <c r="J26" s="139"/>
      <c r="K26" s="139"/>
      <c r="L26" s="131">
        <f t="shared" si="2"/>
        <v>400</v>
      </c>
      <c r="M26" s="139"/>
      <c r="N26" s="139"/>
      <c r="O26" s="132">
        <f t="shared" si="0"/>
        <v>1856</v>
      </c>
      <c r="P26" s="133">
        <v>107.77</v>
      </c>
      <c r="Q26" s="139"/>
      <c r="R26" s="156"/>
      <c r="S26" s="156"/>
      <c r="T26" s="139"/>
      <c r="U26" s="139"/>
      <c r="V26" s="132">
        <f t="shared" si="3"/>
        <v>107.77</v>
      </c>
      <c r="W26" s="135">
        <f t="shared" si="4"/>
        <v>1748.23</v>
      </c>
      <c r="X26" s="133">
        <v>100</v>
      </c>
      <c r="Y26" s="139">
        <f>2*150</f>
        <v>300</v>
      </c>
      <c r="Z26" s="136"/>
    </row>
    <row r="27" spans="1:26" s="137" customFormat="1" ht="9" customHeight="1" x14ac:dyDescent="0.3">
      <c r="A27" s="4" t="s">
        <v>14</v>
      </c>
      <c r="B27" s="73" t="s">
        <v>58</v>
      </c>
      <c r="C27" s="73" t="s">
        <v>17</v>
      </c>
      <c r="D27" s="73"/>
      <c r="E27" s="130">
        <v>4</v>
      </c>
      <c r="F27" s="163" t="s">
        <v>241</v>
      </c>
      <c r="G27" s="141">
        <v>124.66</v>
      </c>
      <c r="H27" s="132">
        <f t="shared" si="1"/>
        <v>1869.8999999999999</v>
      </c>
      <c r="I27" s="131"/>
      <c r="J27" s="133"/>
      <c r="K27" s="133"/>
      <c r="L27" s="131">
        <f t="shared" si="2"/>
        <v>550</v>
      </c>
      <c r="M27" s="133"/>
      <c r="N27" s="133"/>
      <c r="O27" s="132">
        <f t="shared" si="0"/>
        <v>2419.8999999999996</v>
      </c>
      <c r="P27" s="139">
        <v>159.19999999999999</v>
      </c>
      <c r="Q27" s="133"/>
      <c r="R27" s="141"/>
      <c r="S27" s="141"/>
      <c r="T27" s="133"/>
      <c r="U27" s="133"/>
      <c r="V27" s="132">
        <f t="shared" si="3"/>
        <v>159.19999999999999</v>
      </c>
      <c r="W27" s="135">
        <f t="shared" si="4"/>
        <v>2260.6999999999998</v>
      </c>
      <c r="X27" s="133">
        <v>250</v>
      </c>
      <c r="Y27" s="133">
        <f>2*150</f>
        <v>300</v>
      </c>
      <c r="Z27" s="136"/>
    </row>
    <row r="28" spans="1:26" s="137" customFormat="1" ht="9" customHeight="1" x14ac:dyDescent="0.3">
      <c r="A28" s="4" t="s">
        <v>14</v>
      </c>
      <c r="B28" s="73" t="s">
        <v>58</v>
      </c>
      <c r="C28" s="73" t="s">
        <v>17</v>
      </c>
      <c r="D28" s="73"/>
      <c r="E28" s="130">
        <v>5</v>
      </c>
      <c r="F28" s="163" t="s">
        <v>88</v>
      </c>
      <c r="G28" s="141">
        <v>124.66</v>
      </c>
      <c r="H28" s="132">
        <f t="shared" si="1"/>
        <v>1869.8999999999999</v>
      </c>
      <c r="I28" s="131"/>
      <c r="J28" s="133"/>
      <c r="K28" s="133">
        <f>G28*5</f>
        <v>623.29999999999995</v>
      </c>
      <c r="L28" s="131">
        <f t="shared" si="2"/>
        <v>850</v>
      </c>
      <c r="M28" s="133"/>
      <c r="N28" s="133"/>
      <c r="O28" s="132">
        <f t="shared" si="0"/>
        <v>3343.2</v>
      </c>
      <c r="P28" s="139">
        <v>259.66000000000003</v>
      </c>
      <c r="Q28" s="133"/>
      <c r="R28" s="141"/>
      <c r="S28" s="141"/>
      <c r="T28" s="133"/>
      <c r="U28" s="133"/>
      <c r="V28" s="132">
        <f t="shared" si="3"/>
        <v>259.66000000000003</v>
      </c>
      <c r="W28" s="135">
        <f t="shared" si="4"/>
        <v>3083.54</v>
      </c>
      <c r="X28" s="133">
        <v>850</v>
      </c>
      <c r="Y28" s="133"/>
      <c r="Z28" s="136"/>
    </row>
    <row r="29" spans="1:26" s="137" customFormat="1" ht="9" customHeight="1" x14ac:dyDescent="0.3">
      <c r="A29" s="4" t="s">
        <v>14</v>
      </c>
      <c r="B29" s="73" t="s">
        <v>58</v>
      </c>
      <c r="C29" s="73" t="s">
        <v>17</v>
      </c>
      <c r="D29" s="73"/>
      <c r="E29" s="130">
        <v>6</v>
      </c>
      <c r="F29" s="163" t="s">
        <v>89</v>
      </c>
      <c r="G29" s="141">
        <v>104</v>
      </c>
      <c r="H29" s="132">
        <f t="shared" si="1"/>
        <v>1560</v>
      </c>
      <c r="I29" s="131"/>
      <c r="J29" s="133">
        <f>G29*6</f>
        <v>624</v>
      </c>
      <c r="K29" s="164"/>
      <c r="L29" s="131">
        <f t="shared" si="2"/>
        <v>900</v>
      </c>
      <c r="M29" s="133"/>
      <c r="N29" s="133"/>
      <c r="O29" s="132">
        <f t="shared" si="0"/>
        <v>3084</v>
      </c>
      <c r="P29" s="139">
        <v>231.46</v>
      </c>
      <c r="Q29" s="133"/>
      <c r="R29" s="141"/>
      <c r="S29" s="141"/>
      <c r="T29" s="133"/>
      <c r="U29" s="133"/>
      <c r="V29" s="132">
        <f t="shared" si="3"/>
        <v>231.46</v>
      </c>
      <c r="W29" s="135">
        <f t="shared" si="4"/>
        <v>2852.54</v>
      </c>
      <c r="X29" s="133">
        <v>600</v>
      </c>
      <c r="Y29" s="133">
        <f>150*2</f>
        <v>300</v>
      </c>
      <c r="Z29" s="136"/>
    </row>
    <row r="30" spans="1:26" s="137" customFormat="1" ht="9" customHeight="1" x14ac:dyDescent="0.3">
      <c r="A30" s="4" t="s">
        <v>14</v>
      </c>
      <c r="B30" s="73" t="s">
        <v>58</v>
      </c>
      <c r="C30" s="73" t="s">
        <v>17</v>
      </c>
      <c r="D30" s="73"/>
      <c r="E30" s="130">
        <v>7</v>
      </c>
      <c r="F30" s="165" t="s">
        <v>90</v>
      </c>
      <c r="G30" s="141">
        <v>104</v>
      </c>
      <c r="H30" s="132">
        <f t="shared" si="1"/>
        <v>1560</v>
      </c>
      <c r="I30" s="131"/>
      <c r="J30" s="133"/>
      <c r="K30" s="133"/>
      <c r="L30" s="131">
        <f t="shared" si="2"/>
        <v>1600</v>
      </c>
      <c r="M30" s="133"/>
      <c r="N30" s="133"/>
      <c r="O30" s="132">
        <f t="shared" si="0"/>
        <v>3160</v>
      </c>
      <c r="P30" s="139">
        <v>239.72</v>
      </c>
      <c r="Q30" s="133"/>
      <c r="R30" s="141"/>
      <c r="S30" s="141"/>
      <c r="T30" s="133"/>
      <c r="U30" s="133"/>
      <c r="V30" s="132">
        <f t="shared" si="3"/>
        <v>239.72</v>
      </c>
      <c r="W30" s="135">
        <f t="shared" si="4"/>
        <v>2920.28</v>
      </c>
      <c r="X30" s="133">
        <v>100</v>
      </c>
      <c r="Y30" s="133">
        <f>150*10</f>
        <v>1500</v>
      </c>
      <c r="Z30" s="136"/>
    </row>
    <row r="31" spans="1:26" s="137" customFormat="1" ht="9" customHeight="1" x14ac:dyDescent="0.3">
      <c r="A31" s="4" t="s">
        <v>14</v>
      </c>
      <c r="B31" s="73" t="s">
        <v>58</v>
      </c>
      <c r="C31" s="73" t="s">
        <v>17</v>
      </c>
      <c r="D31" s="73"/>
      <c r="E31" s="130">
        <v>8</v>
      </c>
      <c r="F31" s="165" t="s">
        <v>91</v>
      </c>
      <c r="G31" s="141">
        <v>104</v>
      </c>
      <c r="H31" s="132">
        <f t="shared" si="1"/>
        <v>1560</v>
      </c>
      <c r="I31" s="131"/>
      <c r="K31" s="133">
        <f>G31*2</f>
        <v>208</v>
      </c>
      <c r="L31" s="131">
        <f t="shared" si="2"/>
        <v>550</v>
      </c>
      <c r="M31" s="133"/>
      <c r="N31" s="133"/>
      <c r="O31" s="132">
        <f t="shared" si="0"/>
        <v>2318</v>
      </c>
      <c r="P31" s="139">
        <v>148.12</v>
      </c>
      <c r="Q31" s="133"/>
      <c r="R31" s="141"/>
      <c r="S31" s="141"/>
      <c r="T31" s="133"/>
      <c r="U31" s="133"/>
      <c r="V31" s="132">
        <f t="shared" si="3"/>
        <v>148.12</v>
      </c>
      <c r="W31" s="135">
        <f t="shared" si="4"/>
        <v>2169.88</v>
      </c>
      <c r="X31" s="133">
        <v>100</v>
      </c>
      <c r="Y31" s="133">
        <f>150*3</f>
        <v>450</v>
      </c>
      <c r="Z31" s="136"/>
    </row>
    <row r="32" spans="1:26" s="137" customFormat="1" ht="9" customHeight="1" x14ac:dyDescent="0.3">
      <c r="A32" s="4" t="s">
        <v>14</v>
      </c>
      <c r="B32" s="73" t="s">
        <v>58</v>
      </c>
      <c r="C32" s="73" t="s">
        <v>17</v>
      </c>
      <c r="D32" s="73"/>
      <c r="E32" s="130">
        <v>9</v>
      </c>
      <c r="F32" s="139" t="s">
        <v>92</v>
      </c>
      <c r="G32" s="133">
        <v>104</v>
      </c>
      <c r="H32" s="132">
        <f t="shared" si="1"/>
        <v>1560</v>
      </c>
      <c r="I32" s="131"/>
      <c r="J32" s="139"/>
      <c r="K32" s="139"/>
      <c r="L32" s="131">
        <f t="shared" si="2"/>
        <v>850</v>
      </c>
      <c r="M32" s="133"/>
      <c r="N32" s="139"/>
      <c r="O32" s="132">
        <f t="shared" si="0"/>
        <v>2410</v>
      </c>
      <c r="P32" s="133">
        <v>158.12</v>
      </c>
      <c r="Q32" s="139"/>
      <c r="R32" s="156"/>
      <c r="S32" s="156"/>
      <c r="T32" s="139"/>
      <c r="U32" s="139"/>
      <c r="V32" s="132">
        <f t="shared" si="3"/>
        <v>158.12</v>
      </c>
      <c r="W32" s="135">
        <f t="shared" si="4"/>
        <v>2251.88</v>
      </c>
      <c r="X32" s="133">
        <v>100</v>
      </c>
      <c r="Y32" s="4">
        <f>150*5</f>
        <v>750</v>
      </c>
      <c r="Z32" s="136"/>
    </row>
    <row r="33" spans="1:26" s="137" customFormat="1" ht="9" customHeight="1" x14ac:dyDescent="0.3">
      <c r="A33" s="4" t="s">
        <v>14</v>
      </c>
      <c r="B33" s="73" t="s">
        <v>58</v>
      </c>
      <c r="C33" s="73" t="s">
        <v>78</v>
      </c>
      <c r="D33" s="73"/>
      <c r="E33" s="130">
        <v>10</v>
      </c>
      <c r="F33" s="133" t="s">
        <v>93</v>
      </c>
      <c r="G33" s="133">
        <v>150</v>
      </c>
      <c r="H33" s="132">
        <f t="shared" si="1"/>
        <v>2250</v>
      </c>
      <c r="I33" s="131"/>
      <c r="J33" s="133"/>
      <c r="K33" s="133"/>
      <c r="L33" s="131">
        <f t="shared" si="2"/>
        <v>900</v>
      </c>
      <c r="M33" s="133"/>
      <c r="N33" s="139"/>
      <c r="O33" s="132">
        <f t="shared" si="0"/>
        <v>3150</v>
      </c>
      <c r="P33" s="133">
        <v>238.64</v>
      </c>
      <c r="Q33" s="139"/>
      <c r="R33" s="156"/>
      <c r="S33" s="156"/>
      <c r="T33" s="139"/>
      <c r="U33" s="139"/>
      <c r="V33" s="132">
        <f t="shared" si="3"/>
        <v>238.64</v>
      </c>
      <c r="W33" s="135">
        <f t="shared" si="4"/>
        <v>2911.36</v>
      </c>
      <c r="X33" s="133">
        <v>400</v>
      </c>
      <c r="Y33" s="4">
        <v>500</v>
      </c>
      <c r="Z33" s="136"/>
    </row>
    <row r="34" spans="1:26" s="137" customFormat="1" ht="9" customHeight="1" x14ac:dyDescent="0.3">
      <c r="A34" s="4" t="s">
        <v>14</v>
      </c>
      <c r="B34" s="73" t="s">
        <v>58</v>
      </c>
      <c r="C34" s="73"/>
      <c r="D34" s="73"/>
      <c r="E34" s="148">
        <v>11</v>
      </c>
      <c r="F34" s="149" t="s">
        <v>133</v>
      </c>
      <c r="G34" s="132">
        <v>104</v>
      </c>
      <c r="H34" s="132">
        <f>G34*14</f>
        <v>1456</v>
      </c>
      <c r="I34" s="131"/>
      <c r="J34" s="133"/>
      <c r="K34" s="133"/>
      <c r="L34" s="131">
        <f t="shared" si="2"/>
        <v>850</v>
      </c>
      <c r="M34" s="132"/>
      <c r="N34" s="139"/>
      <c r="O34" s="132">
        <f t="shared" si="0"/>
        <v>2306</v>
      </c>
      <c r="P34" s="132">
        <v>146.81</v>
      </c>
      <c r="Q34" s="131"/>
      <c r="R34" s="134"/>
      <c r="S34" s="134"/>
      <c r="T34" s="131"/>
      <c r="U34" s="139"/>
      <c r="V34" s="132">
        <f t="shared" si="3"/>
        <v>146.81</v>
      </c>
      <c r="W34" s="135">
        <f t="shared" si="4"/>
        <v>2159.19</v>
      </c>
      <c r="X34" s="133">
        <v>100</v>
      </c>
      <c r="Y34" s="4">
        <f>150*5</f>
        <v>750</v>
      </c>
      <c r="Z34" s="136"/>
    </row>
    <row r="35" spans="1:26" s="137" customFormat="1" ht="9" customHeight="1" x14ac:dyDescent="0.3">
      <c r="A35" s="4" t="s">
        <v>14</v>
      </c>
      <c r="B35" s="73" t="s">
        <v>58</v>
      </c>
      <c r="C35" s="73"/>
      <c r="D35" s="73"/>
      <c r="E35" s="148">
        <v>12</v>
      </c>
      <c r="F35" s="149" t="s">
        <v>134</v>
      </c>
      <c r="G35" s="150">
        <v>104</v>
      </c>
      <c r="H35" s="132">
        <f t="shared" si="1"/>
        <v>1560</v>
      </c>
      <c r="I35" s="131"/>
      <c r="J35" s="149"/>
      <c r="K35" s="149"/>
      <c r="L35" s="131">
        <f t="shared" si="2"/>
        <v>550</v>
      </c>
      <c r="M35" s="150"/>
      <c r="N35" s="149"/>
      <c r="O35" s="132">
        <f t="shared" si="0"/>
        <v>2110</v>
      </c>
      <c r="P35" s="150">
        <v>125.48</v>
      </c>
      <c r="Q35" s="150">
        <v>500</v>
      </c>
      <c r="R35" s="162"/>
      <c r="S35" s="162"/>
      <c r="T35" s="150"/>
      <c r="U35" s="149"/>
      <c r="V35" s="132">
        <f t="shared" si="3"/>
        <v>625.48</v>
      </c>
      <c r="W35" s="135">
        <f t="shared" si="4"/>
        <v>1484.52</v>
      </c>
      <c r="X35" s="149">
        <v>100</v>
      </c>
      <c r="Y35" s="4">
        <f>150*3</f>
        <v>450</v>
      </c>
      <c r="Z35" s="136"/>
    </row>
    <row r="36" spans="1:26" s="137" customFormat="1" ht="9" customHeight="1" x14ac:dyDescent="0.3">
      <c r="A36" s="4" t="s">
        <v>14</v>
      </c>
      <c r="B36" s="73" t="s">
        <v>58</v>
      </c>
      <c r="C36" s="73"/>
      <c r="D36" s="73"/>
      <c r="E36" s="148">
        <v>13</v>
      </c>
      <c r="F36" s="149" t="s">
        <v>233</v>
      </c>
      <c r="G36" s="150">
        <v>104</v>
      </c>
      <c r="H36" s="132">
        <f t="shared" si="1"/>
        <v>1560</v>
      </c>
      <c r="I36" s="131"/>
      <c r="J36" s="149">
        <f>G36*3</f>
        <v>312</v>
      </c>
      <c r="K36" s="149"/>
      <c r="L36" s="131">
        <f t="shared" si="2"/>
        <v>400</v>
      </c>
      <c r="M36" s="150"/>
      <c r="N36" s="149"/>
      <c r="O36" s="132">
        <f t="shared" si="0"/>
        <v>2272</v>
      </c>
      <c r="P36" s="150">
        <v>143.11000000000001</v>
      </c>
      <c r="Q36" s="150"/>
      <c r="R36" s="162"/>
      <c r="S36" s="162"/>
      <c r="T36" s="150"/>
      <c r="U36" s="149"/>
      <c r="V36" s="132">
        <f t="shared" si="3"/>
        <v>143.11000000000001</v>
      </c>
      <c r="W36" s="135">
        <f t="shared" si="4"/>
        <v>2128.89</v>
      </c>
      <c r="X36" s="149">
        <v>100</v>
      </c>
      <c r="Y36" s="139">
        <f>150*2</f>
        <v>300</v>
      </c>
      <c r="Z36" s="136"/>
    </row>
    <row r="37" spans="1:26" s="137" customFormat="1" ht="9" customHeight="1" x14ac:dyDescent="0.25">
      <c r="A37" s="4" t="s">
        <v>94</v>
      </c>
      <c r="B37" s="73" t="s">
        <v>58</v>
      </c>
      <c r="C37" s="73" t="s">
        <v>95</v>
      </c>
      <c r="D37" s="73"/>
      <c r="E37" s="130">
        <v>1</v>
      </c>
      <c r="F37" s="166" t="s">
        <v>96</v>
      </c>
      <c r="G37" s="166">
        <v>194.12639999999999</v>
      </c>
      <c r="H37" s="132">
        <f t="shared" si="1"/>
        <v>2911.8959999999997</v>
      </c>
      <c r="I37" s="131"/>
      <c r="J37" s="166"/>
      <c r="K37" s="166"/>
      <c r="L37" s="131">
        <f t="shared" si="2"/>
        <v>332.39</v>
      </c>
      <c r="M37" s="167"/>
      <c r="N37" s="167"/>
      <c r="O37" s="132">
        <f t="shared" si="0"/>
        <v>3244.2859999999996</v>
      </c>
      <c r="P37" s="131">
        <v>248.9</v>
      </c>
      <c r="Q37" s="166"/>
      <c r="R37" s="168">
        <v>50</v>
      </c>
      <c r="S37" s="168"/>
      <c r="T37" s="166"/>
      <c r="U37" s="166"/>
      <c r="V37" s="132">
        <f t="shared" si="3"/>
        <v>298.89999999999998</v>
      </c>
      <c r="W37" s="135">
        <f t="shared" si="4"/>
        <v>2945.3859999999995</v>
      </c>
      <c r="X37" s="166">
        <v>332.39</v>
      </c>
      <c r="Y37" s="131"/>
      <c r="Z37" s="136"/>
    </row>
    <row r="38" spans="1:26" s="137" customFormat="1" ht="9" customHeight="1" x14ac:dyDescent="0.3">
      <c r="A38" s="4" t="s">
        <v>94</v>
      </c>
      <c r="B38" s="73" t="s">
        <v>67</v>
      </c>
      <c r="C38" s="73" t="s">
        <v>97</v>
      </c>
      <c r="D38" s="73"/>
      <c r="E38" s="130">
        <v>2</v>
      </c>
      <c r="F38" s="139" t="s">
        <v>98</v>
      </c>
      <c r="G38" s="139">
        <v>1109.3399999999999</v>
      </c>
      <c r="H38" s="132">
        <f t="shared" si="1"/>
        <v>16640.099999999999</v>
      </c>
      <c r="I38" s="131"/>
      <c r="J38" s="139"/>
      <c r="K38" s="139"/>
      <c r="L38" s="131">
        <f t="shared" si="2"/>
        <v>0</v>
      </c>
      <c r="M38" s="139"/>
      <c r="N38" s="139"/>
      <c r="O38" s="132">
        <f t="shared" si="0"/>
        <v>16640.099999999999</v>
      </c>
      <c r="P38" s="139">
        <v>3176.71</v>
      </c>
      <c r="Q38" s="139"/>
      <c r="R38" s="156"/>
      <c r="S38" s="156"/>
      <c r="T38" s="139"/>
      <c r="U38" s="139"/>
      <c r="V38" s="132">
        <f t="shared" si="3"/>
        <v>3176.71</v>
      </c>
      <c r="W38" s="135">
        <f t="shared" si="4"/>
        <v>13463.39</v>
      </c>
      <c r="X38" s="139"/>
      <c r="Y38" s="139"/>
      <c r="Z38" s="136"/>
    </row>
    <row r="39" spans="1:26" s="137" customFormat="1" ht="9" customHeight="1" x14ac:dyDescent="0.3">
      <c r="A39" s="4" t="s">
        <v>23</v>
      </c>
      <c r="B39" s="73" t="s">
        <v>58</v>
      </c>
      <c r="C39" s="73" t="s">
        <v>99</v>
      </c>
      <c r="D39" s="73"/>
      <c r="E39" s="130">
        <v>1</v>
      </c>
      <c r="F39" s="133" t="s">
        <v>100</v>
      </c>
      <c r="G39" s="169">
        <v>130</v>
      </c>
      <c r="H39" s="132">
        <f t="shared" si="1"/>
        <v>1950</v>
      </c>
      <c r="I39" s="131"/>
      <c r="J39" s="133"/>
      <c r="K39" s="133"/>
      <c r="L39" s="131">
        <f t="shared" si="2"/>
        <v>818</v>
      </c>
      <c r="M39" s="132"/>
      <c r="N39" s="133"/>
      <c r="O39" s="132">
        <f t="shared" si="0"/>
        <v>2768</v>
      </c>
      <c r="P39" s="139">
        <v>197.08</v>
      </c>
      <c r="Q39" s="133"/>
      <c r="R39" s="141"/>
      <c r="S39" s="141"/>
      <c r="T39" s="133"/>
      <c r="U39" s="133"/>
      <c r="V39" s="132">
        <f t="shared" si="3"/>
        <v>197.08</v>
      </c>
      <c r="W39" s="135">
        <f t="shared" si="4"/>
        <v>2570.92</v>
      </c>
      <c r="X39" s="133">
        <v>818</v>
      </c>
      <c r="Y39" s="133"/>
      <c r="Z39" s="136"/>
    </row>
    <row r="40" spans="1:26" s="137" customFormat="1" ht="9" customHeight="1" x14ac:dyDescent="0.3">
      <c r="A40" s="4" t="s">
        <v>23</v>
      </c>
      <c r="B40" s="73" t="s">
        <v>58</v>
      </c>
      <c r="C40" s="73" t="s">
        <v>17</v>
      </c>
      <c r="D40" s="73"/>
      <c r="E40" s="130">
        <v>2</v>
      </c>
      <c r="F40" s="170" t="s">
        <v>101</v>
      </c>
      <c r="G40" s="169">
        <v>140</v>
      </c>
      <c r="H40" s="132">
        <f t="shared" si="1"/>
        <v>2100</v>
      </c>
      <c r="I40" s="131"/>
      <c r="J40" s="133"/>
      <c r="K40" s="133"/>
      <c r="L40" s="131">
        <f t="shared" si="2"/>
        <v>1060</v>
      </c>
      <c r="M40" s="132"/>
      <c r="N40" s="133"/>
      <c r="O40" s="132">
        <f t="shared" si="0"/>
        <v>3160</v>
      </c>
      <c r="P40" s="139">
        <v>239.72</v>
      </c>
      <c r="Q40" s="133"/>
      <c r="R40" s="141"/>
      <c r="S40" s="141"/>
      <c r="T40" s="133"/>
      <c r="U40" s="133"/>
      <c r="V40" s="132">
        <f t="shared" si="3"/>
        <v>239.72</v>
      </c>
      <c r="W40" s="135">
        <f t="shared" si="4"/>
        <v>2920.28</v>
      </c>
      <c r="X40" s="133">
        <v>560</v>
      </c>
      <c r="Y40" s="133">
        <v>500</v>
      </c>
      <c r="Z40" s="136"/>
    </row>
    <row r="41" spans="1:26" s="137" customFormat="1" ht="9" customHeight="1" x14ac:dyDescent="0.25">
      <c r="A41" s="4" t="s">
        <v>23</v>
      </c>
      <c r="B41" s="73" t="s">
        <v>58</v>
      </c>
      <c r="C41" s="73" t="s">
        <v>102</v>
      </c>
      <c r="D41" s="73"/>
      <c r="E41" s="130">
        <v>3</v>
      </c>
      <c r="F41" s="165" t="s">
        <v>103</v>
      </c>
      <c r="G41" s="158">
        <v>547.05999999999995</v>
      </c>
      <c r="H41" s="132">
        <f t="shared" si="1"/>
        <v>8205.9</v>
      </c>
      <c r="I41" s="131"/>
      <c r="J41" s="133"/>
      <c r="K41" s="133"/>
      <c r="L41" s="131">
        <f t="shared" si="2"/>
        <v>0</v>
      </c>
      <c r="M41" s="132"/>
      <c r="N41" s="133">
        <v>0</v>
      </c>
      <c r="O41" s="132">
        <f t="shared" si="0"/>
        <v>8205.9</v>
      </c>
      <c r="P41" s="139">
        <v>1205.5899999999999</v>
      </c>
      <c r="Q41" s="133"/>
      <c r="R41" s="141"/>
      <c r="S41" s="141"/>
      <c r="T41" s="133"/>
      <c r="U41" s="133"/>
      <c r="V41" s="132">
        <f t="shared" si="3"/>
        <v>1205.5899999999999</v>
      </c>
      <c r="W41" s="135">
        <f t="shared" si="4"/>
        <v>7000.3099999999995</v>
      </c>
      <c r="X41" s="133"/>
      <c r="Y41" s="133"/>
      <c r="Z41" s="136"/>
    </row>
    <row r="42" spans="1:26" s="137" customFormat="1" ht="9" customHeight="1" x14ac:dyDescent="0.3">
      <c r="A42" s="4" t="s">
        <v>24</v>
      </c>
      <c r="B42" s="73" t="s">
        <v>58</v>
      </c>
      <c r="C42" s="73" t="s">
        <v>25</v>
      </c>
      <c r="D42" s="73"/>
      <c r="E42" s="130">
        <v>1</v>
      </c>
      <c r="F42" s="132" t="s">
        <v>104</v>
      </c>
      <c r="G42" s="132">
        <v>104</v>
      </c>
      <c r="H42" s="132">
        <f t="shared" si="1"/>
        <v>1560</v>
      </c>
      <c r="I42" s="131"/>
      <c r="J42" s="133"/>
      <c r="K42" s="132"/>
      <c r="L42" s="131">
        <f t="shared" si="2"/>
        <v>100</v>
      </c>
      <c r="M42" s="132"/>
      <c r="N42" s="132">
        <v>0</v>
      </c>
      <c r="O42" s="132">
        <f t="shared" si="0"/>
        <v>1660</v>
      </c>
      <c r="P42" s="131">
        <v>95.22</v>
      </c>
      <c r="Q42" s="171"/>
      <c r="R42" s="153"/>
      <c r="S42" s="153"/>
      <c r="T42" s="132">
        <v>0</v>
      </c>
      <c r="U42" s="132"/>
      <c r="V42" s="132">
        <f t="shared" si="3"/>
        <v>95.22</v>
      </c>
      <c r="W42" s="135">
        <f t="shared" si="4"/>
        <v>1564.78</v>
      </c>
      <c r="X42" s="132">
        <v>100</v>
      </c>
      <c r="Y42" s="132"/>
      <c r="Z42" s="136"/>
    </row>
    <row r="43" spans="1:26" s="137" customFormat="1" ht="9" customHeight="1" x14ac:dyDescent="0.3">
      <c r="A43" s="4" t="s">
        <v>24</v>
      </c>
      <c r="B43" s="73" t="s">
        <v>58</v>
      </c>
      <c r="C43" s="73" t="s">
        <v>45</v>
      </c>
      <c r="D43" s="73"/>
      <c r="E43" s="130">
        <v>2</v>
      </c>
      <c r="F43" s="131" t="s">
        <v>105</v>
      </c>
      <c r="G43" s="131">
        <v>207.5</v>
      </c>
      <c r="H43" s="132">
        <f t="shared" si="1"/>
        <v>3112.5</v>
      </c>
      <c r="I43" s="131"/>
      <c r="J43" s="133"/>
      <c r="K43" s="132"/>
      <c r="L43" s="131">
        <f t="shared" si="2"/>
        <v>1600</v>
      </c>
      <c r="M43" s="132"/>
      <c r="N43" s="132"/>
      <c r="O43" s="132">
        <f t="shared" si="0"/>
        <v>4712.5</v>
      </c>
      <c r="P43" s="131">
        <v>471.99</v>
      </c>
      <c r="Q43" s="171">
        <v>1500</v>
      </c>
      <c r="R43" s="134"/>
      <c r="S43" s="134"/>
      <c r="T43" s="131">
        <v>0</v>
      </c>
      <c r="U43" s="172"/>
      <c r="V43" s="132">
        <f t="shared" si="3"/>
        <v>1971.99</v>
      </c>
      <c r="W43" s="135">
        <f t="shared" si="4"/>
        <v>2740.51</v>
      </c>
      <c r="X43" s="131">
        <v>600</v>
      </c>
      <c r="Y43" s="131">
        <v>1000</v>
      </c>
      <c r="Z43" s="136"/>
    </row>
    <row r="44" spans="1:26" s="137" customFormat="1" ht="9" customHeight="1" x14ac:dyDescent="0.25">
      <c r="A44" s="4" t="s">
        <v>24</v>
      </c>
      <c r="B44" s="73" t="s">
        <v>58</v>
      </c>
      <c r="C44" s="73" t="s">
        <v>25</v>
      </c>
      <c r="D44" s="73"/>
      <c r="E44" s="130">
        <v>3</v>
      </c>
      <c r="F44" s="131" t="s">
        <v>106</v>
      </c>
      <c r="G44" s="131">
        <v>100.017</v>
      </c>
      <c r="H44" s="132">
        <f t="shared" si="1"/>
        <v>1500.2549999999999</v>
      </c>
      <c r="I44" s="131"/>
      <c r="J44" s="133"/>
      <c r="K44" s="132"/>
      <c r="L44" s="131">
        <f t="shared" si="2"/>
        <v>100</v>
      </c>
      <c r="M44" s="132"/>
      <c r="N44" s="132"/>
      <c r="O44" s="132">
        <f t="shared" si="0"/>
        <v>1600.2549999999999</v>
      </c>
      <c r="P44" s="131">
        <v>91.4</v>
      </c>
      <c r="Q44" s="132"/>
      <c r="R44" s="134"/>
      <c r="S44" s="134"/>
      <c r="T44" s="131"/>
      <c r="U44" s="131"/>
      <c r="V44" s="132">
        <f t="shared" si="3"/>
        <v>91.4</v>
      </c>
      <c r="W44" s="135">
        <f t="shared" si="4"/>
        <v>1508.8549999999998</v>
      </c>
      <c r="X44" s="131">
        <v>100</v>
      </c>
      <c r="Y44" s="131"/>
      <c r="Z44" s="136"/>
    </row>
    <row r="45" spans="1:26" s="137" customFormat="1" ht="9" customHeight="1" x14ac:dyDescent="0.25">
      <c r="A45" s="4" t="s">
        <v>24</v>
      </c>
      <c r="B45" s="73" t="s">
        <v>58</v>
      </c>
      <c r="C45" s="73" t="s">
        <v>25</v>
      </c>
      <c r="D45" s="73"/>
      <c r="E45" s="130">
        <v>4</v>
      </c>
      <c r="F45" s="133" t="s">
        <v>107</v>
      </c>
      <c r="G45" s="133">
        <v>138.68</v>
      </c>
      <c r="H45" s="132">
        <f t="shared" si="1"/>
        <v>2080.2000000000003</v>
      </c>
      <c r="I45" s="131"/>
      <c r="J45" s="133"/>
      <c r="K45" s="132"/>
      <c r="L45" s="131">
        <f t="shared" si="2"/>
        <v>140</v>
      </c>
      <c r="M45" s="132"/>
      <c r="N45" s="132">
        <v>0</v>
      </c>
      <c r="O45" s="132">
        <f t="shared" si="0"/>
        <v>2220.2000000000003</v>
      </c>
      <c r="P45" s="131">
        <v>137.47</v>
      </c>
      <c r="Q45" s="133"/>
      <c r="R45" s="141"/>
      <c r="S45" s="141"/>
      <c r="T45" s="133"/>
      <c r="U45" s="133"/>
      <c r="V45" s="132">
        <f t="shared" si="3"/>
        <v>137.47</v>
      </c>
      <c r="W45" s="135">
        <f t="shared" si="4"/>
        <v>2082.7300000000005</v>
      </c>
      <c r="X45" s="133">
        <v>140</v>
      </c>
      <c r="Y45" s="133"/>
      <c r="Z45" s="136"/>
    </row>
    <row r="46" spans="1:26" s="137" customFormat="1" ht="9" customHeight="1" x14ac:dyDescent="0.25">
      <c r="A46" s="4" t="s">
        <v>24</v>
      </c>
      <c r="B46" s="73" t="s">
        <v>58</v>
      </c>
      <c r="C46" s="73" t="s">
        <v>25</v>
      </c>
      <c r="D46" s="73"/>
      <c r="E46" s="130">
        <v>5</v>
      </c>
      <c r="F46" s="133" t="s">
        <v>108</v>
      </c>
      <c r="G46" s="133">
        <v>138.68</v>
      </c>
      <c r="H46" s="132">
        <f t="shared" si="1"/>
        <v>2080.2000000000003</v>
      </c>
      <c r="I46" s="131"/>
      <c r="J46" s="133"/>
      <c r="K46" s="132"/>
      <c r="L46" s="131">
        <f t="shared" si="2"/>
        <v>140</v>
      </c>
      <c r="M46" s="132"/>
      <c r="N46" s="132">
        <v>0</v>
      </c>
      <c r="O46" s="132">
        <f t="shared" si="0"/>
        <v>2220.2000000000003</v>
      </c>
      <c r="P46" s="131">
        <v>137.47</v>
      </c>
      <c r="Q46" s="133"/>
      <c r="R46" s="141"/>
      <c r="S46" s="141"/>
      <c r="T46" s="133"/>
      <c r="U46" s="133"/>
      <c r="V46" s="132">
        <f t="shared" si="3"/>
        <v>137.47</v>
      </c>
      <c r="W46" s="135">
        <f t="shared" si="4"/>
        <v>2082.7300000000005</v>
      </c>
      <c r="X46" s="133">
        <v>140</v>
      </c>
      <c r="Y46" s="133"/>
      <c r="Z46" s="136"/>
    </row>
    <row r="47" spans="1:26" s="137" customFormat="1" ht="9" customHeight="1" x14ac:dyDescent="0.25">
      <c r="A47" s="4" t="s">
        <v>24</v>
      </c>
      <c r="B47" s="73" t="s">
        <v>58</v>
      </c>
      <c r="C47" s="73" t="s">
        <v>45</v>
      </c>
      <c r="D47" s="73"/>
      <c r="E47" s="130">
        <v>6</v>
      </c>
      <c r="F47" s="131" t="s">
        <v>109</v>
      </c>
      <c r="G47" s="131">
        <v>255</v>
      </c>
      <c r="H47" s="132">
        <f t="shared" si="1"/>
        <v>3825</v>
      </c>
      <c r="I47" s="131"/>
      <c r="J47" s="133"/>
      <c r="K47" s="132"/>
      <c r="L47" s="131">
        <f t="shared" si="2"/>
        <v>1100</v>
      </c>
      <c r="M47" s="132"/>
      <c r="N47" s="132"/>
      <c r="O47" s="132">
        <f t="shared" si="0"/>
        <v>4925</v>
      </c>
      <c r="P47" s="131">
        <v>510.07</v>
      </c>
      <c r="Q47" s="131"/>
      <c r="R47" s="134"/>
      <c r="S47" s="134"/>
      <c r="T47" s="131"/>
      <c r="U47" s="131"/>
      <c r="V47" s="132">
        <f t="shared" si="3"/>
        <v>510.07</v>
      </c>
      <c r="W47" s="135">
        <f t="shared" si="4"/>
        <v>4414.93</v>
      </c>
      <c r="X47" s="131">
        <v>600</v>
      </c>
      <c r="Y47" s="131">
        <v>500</v>
      </c>
      <c r="Z47" s="136"/>
    </row>
    <row r="48" spans="1:26" s="137" customFormat="1" ht="9" customHeight="1" x14ac:dyDescent="0.25">
      <c r="A48" s="4" t="s">
        <v>24</v>
      </c>
      <c r="B48" s="73" t="s">
        <v>58</v>
      </c>
      <c r="C48" s="73" t="s">
        <v>110</v>
      </c>
      <c r="D48" s="73"/>
      <c r="E48" s="130">
        <v>7</v>
      </c>
      <c r="F48" s="133" t="s">
        <v>111</v>
      </c>
      <c r="G48" s="133">
        <v>179.92000000000002</v>
      </c>
      <c r="H48" s="132">
        <f t="shared" si="1"/>
        <v>2698.8</v>
      </c>
      <c r="I48" s="131"/>
      <c r="J48" s="133">
        <f>G48*2</f>
        <v>359.84000000000003</v>
      </c>
      <c r="K48" s="131">
        <f>G48*2</f>
        <v>359.84000000000003</v>
      </c>
      <c r="L48" s="131">
        <f t="shared" si="2"/>
        <v>145</v>
      </c>
      <c r="M48" s="132"/>
      <c r="N48" s="132">
        <v>0</v>
      </c>
      <c r="O48" s="132">
        <f t="shared" si="0"/>
        <v>3563.4800000000005</v>
      </c>
      <c r="P48" s="131">
        <v>283.62</v>
      </c>
      <c r="Q48" s="133"/>
      <c r="R48" s="141">
        <v>48.76</v>
      </c>
      <c r="S48" s="141"/>
      <c r="T48" s="133"/>
      <c r="U48" s="133"/>
      <c r="V48" s="132">
        <f t="shared" si="3"/>
        <v>332.38</v>
      </c>
      <c r="W48" s="135">
        <f t="shared" si="4"/>
        <v>3231.1000000000004</v>
      </c>
      <c r="X48" s="133">
        <v>145</v>
      </c>
      <c r="Y48" s="133"/>
      <c r="Z48" s="136"/>
    </row>
    <row r="49" spans="1:26" s="137" customFormat="1" ht="9" customHeight="1" x14ac:dyDescent="0.25">
      <c r="A49" s="4" t="s">
        <v>24</v>
      </c>
      <c r="B49" s="73" t="s">
        <v>58</v>
      </c>
      <c r="C49" s="73" t="s">
        <v>112</v>
      </c>
      <c r="D49" s="73"/>
      <c r="E49" s="130">
        <v>8</v>
      </c>
      <c r="F49" s="133" t="s">
        <v>113</v>
      </c>
      <c r="G49" s="132">
        <v>173.34</v>
      </c>
      <c r="H49" s="132">
        <f t="shared" si="1"/>
        <v>2600.1</v>
      </c>
      <c r="I49" s="131"/>
      <c r="J49" s="133"/>
      <c r="K49" s="131"/>
      <c r="L49" s="131">
        <f t="shared" si="2"/>
        <v>1700</v>
      </c>
      <c r="M49" s="132">
        <f>G49*6</f>
        <v>1040.04</v>
      </c>
      <c r="N49" s="132">
        <v>0</v>
      </c>
      <c r="O49" s="132">
        <f t="shared" si="0"/>
        <v>5340.14</v>
      </c>
      <c r="P49" s="131">
        <v>593</v>
      </c>
      <c r="Q49" s="133"/>
      <c r="R49" s="141"/>
      <c r="S49" s="141"/>
      <c r="T49" s="133"/>
      <c r="U49" s="133"/>
      <c r="V49" s="132">
        <f t="shared" si="3"/>
        <v>593</v>
      </c>
      <c r="W49" s="135">
        <f t="shared" si="4"/>
        <v>4747.1400000000003</v>
      </c>
      <c r="X49" s="133">
        <v>1700</v>
      </c>
      <c r="Y49" s="133"/>
      <c r="Z49" s="136"/>
    </row>
    <row r="50" spans="1:26" s="137" customFormat="1" ht="9" customHeight="1" x14ac:dyDescent="0.25">
      <c r="A50" s="4" t="s">
        <v>24</v>
      </c>
      <c r="B50" s="73" t="s">
        <v>58</v>
      </c>
      <c r="C50" s="73" t="s">
        <v>50</v>
      </c>
      <c r="D50" s="73"/>
      <c r="E50" s="130">
        <v>9</v>
      </c>
      <c r="F50" s="133" t="s">
        <v>114</v>
      </c>
      <c r="G50" s="133">
        <v>124.80000000000001</v>
      </c>
      <c r="H50" s="132">
        <f t="shared" si="1"/>
        <v>1872.0000000000002</v>
      </c>
      <c r="I50" s="131"/>
      <c r="J50" s="133"/>
      <c r="K50" s="131"/>
      <c r="L50" s="131">
        <f t="shared" si="2"/>
        <v>120</v>
      </c>
      <c r="M50" s="133"/>
      <c r="N50" s="133"/>
      <c r="O50" s="132">
        <f t="shared" si="0"/>
        <v>1992.0000000000002</v>
      </c>
      <c r="P50" s="139">
        <v>116.47</v>
      </c>
      <c r="Q50" s="133"/>
      <c r="R50" s="141"/>
      <c r="S50" s="141"/>
      <c r="T50" s="133"/>
      <c r="U50" s="133"/>
      <c r="V50" s="132">
        <f t="shared" si="3"/>
        <v>116.47</v>
      </c>
      <c r="W50" s="135">
        <f t="shared" si="4"/>
        <v>1875.5300000000002</v>
      </c>
      <c r="X50" s="133">
        <v>120</v>
      </c>
      <c r="Y50" s="133"/>
      <c r="Z50" s="136"/>
    </row>
    <row r="51" spans="1:26" s="137" customFormat="1" ht="9" customHeight="1" x14ac:dyDescent="0.25">
      <c r="A51" s="4" t="s">
        <v>24</v>
      </c>
      <c r="B51" s="73" t="s">
        <v>58</v>
      </c>
      <c r="C51" s="73" t="s">
        <v>115</v>
      </c>
      <c r="D51" s="73"/>
      <c r="E51" s="130">
        <v>10</v>
      </c>
      <c r="F51" s="133" t="s">
        <v>116</v>
      </c>
      <c r="G51" s="133">
        <v>200</v>
      </c>
      <c r="H51" s="132">
        <f t="shared" si="1"/>
        <v>3000</v>
      </c>
      <c r="I51" s="131"/>
      <c r="J51" s="133"/>
      <c r="K51" s="131"/>
      <c r="L51" s="131">
        <f t="shared" si="2"/>
        <v>1700</v>
      </c>
      <c r="M51" s="133"/>
      <c r="N51" s="133">
        <v>0</v>
      </c>
      <c r="O51" s="132">
        <f t="shared" si="0"/>
        <v>4700</v>
      </c>
      <c r="P51" s="139">
        <v>469.75</v>
      </c>
      <c r="Q51" s="139"/>
      <c r="R51" s="139"/>
      <c r="S51" s="139">
        <v>1656.84</v>
      </c>
      <c r="T51" s="139"/>
      <c r="U51" s="133"/>
      <c r="V51" s="132">
        <f t="shared" si="3"/>
        <v>2126.59</v>
      </c>
      <c r="W51" s="135">
        <f t="shared" si="4"/>
        <v>2573.41</v>
      </c>
      <c r="X51" s="133">
        <v>1700</v>
      </c>
      <c r="Y51" s="133"/>
      <c r="Z51" s="136"/>
    </row>
    <row r="52" spans="1:26" s="137" customFormat="1" ht="9" customHeight="1" x14ac:dyDescent="0.25">
      <c r="A52" s="4" t="s">
        <v>24</v>
      </c>
      <c r="B52" s="73" t="s">
        <v>58</v>
      </c>
      <c r="C52" s="73" t="s">
        <v>25</v>
      </c>
      <c r="D52" s="73"/>
      <c r="E52" s="130">
        <v>11</v>
      </c>
      <c r="F52" s="163" t="s">
        <v>117</v>
      </c>
      <c r="G52" s="141">
        <v>113.34</v>
      </c>
      <c r="H52" s="132">
        <f t="shared" si="1"/>
        <v>1700.1000000000001</v>
      </c>
      <c r="I52" s="131"/>
      <c r="J52" s="133"/>
      <c r="K52" s="131"/>
      <c r="L52" s="131">
        <f>Y52+X52</f>
        <v>893.38000000000011</v>
      </c>
      <c r="M52" s="133"/>
      <c r="N52" s="133"/>
      <c r="O52" s="132">
        <f t="shared" si="0"/>
        <v>2593.4800000000005</v>
      </c>
      <c r="P52" s="139">
        <v>232.49</v>
      </c>
      <c r="Q52" s="133"/>
      <c r="R52" s="141"/>
      <c r="S52" s="141"/>
      <c r="T52" s="133"/>
      <c r="U52" s="133"/>
      <c r="V52" s="132">
        <f t="shared" si="3"/>
        <v>232.49</v>
      </c>
      <c r="W52" s="135">
        <f t="shared" si="4"/>
        <v>2360.9900000000007</v>
      </c>
      <c r="X52" s="133">
        <v>893.38000000000011</v>
      </c>
      <c r="Y52" s="133"/>
      <c r="Z52" s="136"/>
    </row>
    <row r="53" spans="1:26" s="137" customFormat="1" ht="9" customHeight="1" x14ac:dyDescent="0.25">
      <c r="A53" s="4" t="s">
        <v>24</v>
      </c>
      <c r="B53" s="73" t="s">
        <v>58</v>
      </c>
      <c r="C53" s="73" t="s">
        <v>25</v>
      </c>
      <c r="D53" s="73"/>
      <c r="E53" s="148">
        <v>12</v>
      </c>
      <c r="F53" s="173" t="s">
        <v>234</v>
      </c>
      <c r="G53" s="149">
        <v>113.34</v>
      </c>
      <c r="H53" s="132">
        <f t="shared" si="1"/>
        <v>1700.1000000000001</v>
      </c>
      <c r="I53" s="131"/>
      <c r="J53" s="149"/>
      <c r="K53" s="131"/>
      <c r="L53" s="131">
        <f t="shared" si="2"/>
        <v>893.38000000000011</v>
      </c>
      <c r="M53" s="149"/>
      <c r="N53" s="149"/>
      <c r="O53" s="132">
        <f t="shared" si="0"/>
        <v>2593.4800000000005</v>
      </c>
      <c r="P53" s="139">
        <v>232.49</v>
      </c>
      <c r="Q53" s="149"/>
      <c r="R53" s="151"/>
      <c r="S53" s="151"/>
      <c r="T53" s="149"/>
      <c r="U53" s="149"/>
      <c r="V53" s="132">
        <f t="shared" si="3"/>
        <v>232.49</v>
      </c>
      <c r="W53" s="135">
        <f t="shared" si="4"/>
        <v>2360.9900000000007</v>
      </c>
      <c r="X53" s="133">
        <v>893.38000000000011</v>
      </c>
      <c r="Y53" s="133"/>
      <c r="Z53" s="136"/>
    </row>
    <row r="54" spans="1:26" s="137" customFormat="1" ht="9" customHeight="1" x14ac:dyDescent="0.25">
      <c r="A54" s="4" t="s">
        <v>24</v>
      </c>
      <c r="B54" s="73" t="s">
        <v>58</v>
      </c>
      <c r="C54" s="73" t="s">
        <v>25</v>
      </c>
      <c r="D54" s="73"/>
      <c r="E54" s="148">
        <v>13</v>
      </c>
      <c r="F54" s="173" t="s">
        <v>242</v>
      </c>
      <c r="G54" s="149">
        <v>138.68</v>
      </c>
      <c r="H54" s="132">
        <f>G54*15</f>
        <v>2080.2000000000003</v>
      </c>
      <c r="I54" s="131"/>
      <c r="J54" s="149"/>
      <c r="K54" s="131">
        <f>G54</f>
        <v>138.68</v>
      </c>
      <c r="L54" s="131">
        <f t="shared" ref="L54" si="5">Y54+X54</f>
        <v>0</v>
      </c>
      <c r="M54" s="149"/>
      <c r="N54" s="149"/>
      <c r="O54" s="132">
        <f t="shared" ref="O54" si="6">SUM(H54:N54)</f>
        <v>2218.88</v>
      </c>
      <c r="P54" s="149">
        <v>137.36000000000001</v>
      </c>
      <c r="Q54" s="149"/>
      <c r="R54" s="151"/>
      <c r="S54" s="151"/>
      <c r="T54" s="149"/>
      <c r="U54" s="149"/>
      <c r="V54" s="132">
        <f t="shared" ref="V54" si="7">SUM(P54:U54)</f>
        <v>137.36000000000001</v>
      </c>
      <c r="W54" s="135">
        <f t="shared" ref="W54" si="8">O54-V54</f>
        <v>2081.52</v>
      </c>
      <c r="X54" s="133">
        <v>0</v>
      </c>
      <c r="Y54" s="133"/>
      <c r="Z54" s="136"/>
    </row>
    <row r="55" spans="1:26" s="137" customFormat="1" ht="9" customHeight="1" x14ac:dyDescent="0.25">
      <c r="A55" s="4" t="s">
        <v>24</v>
      </c>
      <c r="B55" s="73" t="s">
        <v>58</v>
      </c>
      <c r="C55" s="73" t="s">
        <v>25</v>
      </c>
      <c r="D55" s="73"/>
      <c r="E55" s="148">
        <v>13</v>
      </c>
      <c r="F55" s="173" t="s">
        <v>293</v>
      </c>
      <c r="G55" s="149"/>
      <c r="H55" s="132">
        <f>G55*15</f>
        <v>0</v>
      </c>
      <c r="I55" s="131"/>
      <c r="J55" s="149"/>
      <c r="K55" s="131">
        <f>G55</f>
        <v>0</v>
      </c>
      <c r="L55" s="131">
        <f t="shared" si="2"/>
        <v>0</v>
      </c>
      <c r="M55" s="149"/>
      <c r="N55" s="149"/>
      <c r="O55" s="132">
        <f t="shared" si="0"/>
        <v>0</v>
      </c>
      <c r="P55" s="149"/>
      <c r="Q55" s="149"/>
      <c r="R55" s="151"/>
      <c r="S55" s="151"/>
      <c r="T55" s="149"/>
      <c r="U55" s="149"/>
      <c r="V55" s="132">
        <f t="shared" si="3"/>
        <v>0</v>
      </c>
      <c r="W55" s="135">
        <f t="shared" si="4"/>
        <v>0</v>
      </c>
      <c r="X55" s="133">
        <v>0</v>
      </c>
      <c r="Y55" s="133"/>
      <c r="Z55" s="136"/>
    </row>
    <row r="56" spans="1:26" x14ac:dyDescent="0.25">
      <c r="A56" s="4" t="s">
        <v>119</v>
      </c>
      <c r="B56" s="73" t="s">
        <v>58</v>
      </c>
      <c r="C56" s="73" t="s">
        <v>25</v>
      </c>
      <c r="D56" s="73"/>
      <c r="E56" s="175">
        <v>1</v>
      </c>
      <c r="F56" s="133" t="s">
        <v>120</v>
      </c>
      <c r="G56" s="133">
        <v>100.02</v>
      </c>
      <c r="H56" s="133">
        <f>G56*15</f>
        <v>1500.3</v>
      </c>
      <c r="I56" s="133"/>
      <c r="J56" s="133"/>
      <c r="K56" s="133"/>
      <c r="L56" s="139">
        <f t="shared" ref="L56:L67" si="9">X56+Y56</f>
        <v>100</v>
      </c>
      <c r="M56" s="133"/>
      <c r="N56" s="133"/>
      <c r="O56" s="133">
        <f t="shared" ref="O56:O67" si="10">SUM(H56:N56)</f>
        <v>1600.3</v>
      </c>
      <c r="P56" s="133">
        <v>91.4</v>
      </c>
      <c r="Q56" s="133"/>
      <c r="R56" s="141">
        <v>36.06</v>
      </c>
      <c r="S56" s="141"/>
      <c r="T56" s="133"/>
      <c r="U56" s="133"/>
      <c r="V56" s="133">
        <f>SUM(P56:U56)</f>
        <v>127.46000000000001</v>
      </c>
      <c r="W56" s="176">
        <f t="shared" ref="W56:W67" si="11">O56-V56</f>
        <v>1472.84</v>
      </c>
      <c r="X56" s="177">
        <v>100</v>
      </c>
      <c r="Y56" s="133">
        <v>0</v>
      </c>
      <c r="Z56"/>
    </row>
    <row r="57" spans="1:26" ht="15.75" thickBot="1" x14ac:dyDescent="0.3">
      <c r="A57" s="184" t="str">
        <f>A56</f>
        <v xml:space="preserve">COYOTE </v>
      </c>
      <c r="B57" s="184"/>
      <c r="C57" s="184"/>
      <c r="D57" s="184"/>
      <c r="E57" s="175">
        <v>2</v>
      </c>
      <c r="F57" s="133" t="s">
        <v>121</v>
      </c>
      <c r="G57" s="133">
        <v>100.02</v>
      </c>
      <c r="H57" s="133">
        <f t="shared" ref="H57:H67" si="12">G57*15</f>
        <v>1500.3</v>
      </c>
      <c r="I57" s="133"/>
      <c r="J57" s="133">
        <f>G57*2</f>
        <v>200.04</v>
      </c>
      <c r="K57" s="140"/>
      <c r="L57" s="139">
        <f t="shared" si="9"/>
        <v>100</v>
      </c>
      <c r="M57" s="133"/>
      <c r="N57" s="133"/>
      <c r="O57" s="133">
        <f t="shared" si="10"/>
        <v>1800.34</v>
      </c>
      <c r="P57" s="133">
        <v>104.2</v>
      </c>
      <c r="Q57" s="133">
        <v>0</v>
      </c>
      <c r="R57" s="141"/>
      <c r="S57" s="141"/>
      <c r="T57" s="133"/>
      <c r="U57" s="133"/>
      <c r="V57" s="133">
        <f t="shared" ref="V57:V67" si="13">SUM(P57:U57)</f>
        <v>104.2</v>
      </c>
      <c r="W57" s="176">
        <f t="shared" si="11"/>
        <v>1696.1399999999999</v>
      </c>
      <c r="X57" s="133">
        <v>100</v>
      </c>
      <c r="Y57" s="133">
        <v>0</v>
      </c>
      <c r="Z57"/>
    </row>
    <row r="58" spans="1:26" ht="15.75" thickTop="1" x14ac:dyDescent="0.25">
      <c r="E58" s="175">
        <v>3</v>
      </c>
      <c r="F58" s="132" t="s">
        <v>122</v>
      </c>
      <c r="G58" s="132">
        <v>100.02</v>
      </c>
      <c r="H58" s="133">
        <f t="shared" si="12"/>
        <v>1500.3</v>
      </c>
      <c r="I58" s="133"/>
      <c r="J58" s="133">
        <f>G58*2</f>
        <v>200.04</v>
      </c>
      <c r="K58" s="140"/>
      <c r="L58" s="139">
        <f t="shared" si="9"/>
        <v>100</v>
      </c>
      <c r="M58" s="132"/>
      <c r="N58" s="133"/>
      <c r="O58" s="133">
        <f t="shared" si="10"/>
        <v>1800.34</v>
      </c>
      <c r="P58" s="133">
        <v>104.2</v>
      </c>
      <c r="Q58" s="133"/>
      <c r="R58" s="141">
        <v>36.06</v>
      </c>
      <c r="S58" s="141"/>
      <c r="T58" s="133"/>
      <c r="U58" s="133"/>
      <c r="V58" s="133">
        <f t="shared" si="13"/>
        <v>140.26</v>
      </c>
      <c r="W58" s="176">
        <f t="shared" si="11"/>
        <v>1660.08</v>
      </c>
      <c r="X58" s="132">
        <v>100</v>
      </c>
      <c r="Y58" s="132">
        <v>0</v>
      </c>
      <c r="Z58"/>
    </row>
    <row r="59" spans="1:26" ht="11.25" customHeight="1" x14ac:dyDescent="0.25">
      <c r="E59" s="175">
        <v>4</v>
      </c>
      <c r="F59" s="132" t="s">
        <v>123</v>
      </c>
      <c r="G59" s="132">
        <v>100.02</v>
      </c>
      <c r="H59" s="133">
        <f t="shared" si="12"/>
        <v>1500.3</v>
      </c>
      <c r="I59" s="133"/>
      <c r="J59" s="133">
        <f>G59*2</f>
        <v>200.04</v>
      </c>
      <c r="K59" s="140"/>
      <c r="L59" s="139">
        <f t="shared" si="9"/>
        <v>100</v>
      </c>
      <c r="M59" s="132"/>
      <c r="N59" s="133"/>
      <c r="O59" s="133">
        <f t="shared" si="10"/>
        <v>1800.34</v>
      </c>
      <c r="P59" s="133">
        <v>104.2</v>
      </c>
      <c r="Q59" s="133"/>
      <c r="R59" s="141">
        <v>36.06</v>
      </c>
      <c r="S59" s="141"/>
      <c r="T59" s="133"/>
      <c r="U59" s="133"/>
      <c r="V59" s="133">
        <f t="shared" si="13"/>
        <v>140.26</v>
      </c>
      <c r="W59" s="176">
        <f t="shared" si="11"/>
        <v>1660.08</v>
      </c>
      <c r="X59" s="132">
        <v>100</v>
      </c>
      <c r="Y59" s="132">
        <v>0</v>
      </c>
      <c r="Z59"/>
    </row>
    <row r="60" spans="1:26" ht="11.25" customHeight="1" x14ac:dyDescent="0.25">
      <c r="A60" s="106"/>
      <c r="B60" s="106"/>
      <c r="C60" s="106"/>
      <c r="D60" s="106"/>
      <c r="E60" s="175">
        <v>5</v>
      </c>
      <c r="F60" s="131" t="s">
        <v>125</v>
      </c>
      <c r="G60" s="131">
        <v>569.58000000000004</v>
      </c>
      <c r="H60" s="133">
        <f t="shared" si="12"/>
        <v>8543.7000000000007</v>
      </c>
      <c r="I60" s="133"/>
      <c r="J60" s="133">
        <f>G60*2</f>
        <v>1139.1600000000001</v>
      </c>
      <c r="K60" s="140"/>
      <c r="L60" s="139">
        <f t="shared" si="9"/>
        <v>1000</v>
      </c>
      <c r="M60" s="131"/>
      <c r="N60" s="133"/>
      <c r="O60" s="133">
        <f t="shared" si="10"/>
        <v>10682.86</v>
      </c>
      <c r="P60" s="139">
        <v>1743.92</v>
      </c>
      <c r="Q60" s="139"/>
      <c r="R60" s="156"/>
      <c r="S60" s="156"/>
      <c r="T60" s="139"/>
      <c r="U60" s="139"/>
      <c r="V60" s="133">
        <f t="shared" si="13"/>
        <v>1743.92</v>
      </c>
      <c r="W60" s="176">
        <f t="shared" si="11"/>
        <v>8938.94</v>
      </c>
      <c r="X60" s="132">
        <v>1000</v>
      </c>
      <c r="Y60" s="131">
        <v>0</v>
      </c>
      <c r="Z60"/>
    </row>
    <row r="61" spans="1:26" ht="11.25" customHeight="1" x14ac:dyDescent="0.25">
      <c r="E61" s="175">
        <v>6</v>
      </c>
      <c r="F61" s="131" t="s">
        <v>126</v>
      </c>
      <c r="G61" s="131">
        <v>219.71</v>
      </c>
      <c r="H61" s="133">
        <f t="shared" si="12"/>
        <v>3295.65</v>
      </c>
      <c r="I61" s="133"/>
      <c r="J61" s="133">
        <f>G61*2</f>
        <v>439.42</v>
      </c>
      <c r="K61" s="140"/>
      <c r="L61" s="139">
        <f t="shared" si="9"/>
        <v>850</v>
      </c>
      <c r="M61" s="131"/>
      <c r="N61" s="133"/>
      <c r="O61" s="133">
        <f t="shared" si="10"/>
        <v>4585.07</v>
      </c>
      <c r="P61" s="139">
        <v>449.15</v>
      </c>
      <c r="Q61" s="139"/>
      <c r="R61" s="156">
        <v>36.1</v>
      </c>
      <c r="S61" s="156"/>
      <c r="T61" s="139"/>
      <c r="U61" s="139"/>
      <c r="V61" s="133">
        <f t="shared" si="13"/>
        <v>485.25</v>
      </c>
      <c r="W61" s="176">
        <f t="shared" si="11"/>
        <v>4099.82</v>
      </c>
      <c r="X61" s="132">
        <v>850</v>
      </c>
      <c r="Y61" s="131"/>
      <c r="Z61"/>
    </row>
    <row r="62" spans="1:26" ht="11.25" customHeight="1" x14ac:dyDescent="0.25">
      <c r="E62" s="175">
        <v>7</v>
      </c>
      <c r="F62" s="133" t="s">
        <v>127</v>
      </c>
      <c r="G62" s="133">
        <v>100.09</v>
      </c>
      <c r="H62" s="133">
        <f t="shared" si="12"/>
        <v>1501.3500000000001</v>
      </c>
      <c r="I62" s="133"/>
      <c r="J62" s="133"/>
      <c r="K62" s="140"/>
      <c r="L62" s="139">
        <f t="shared" si="9"/>
        <v>100</v>
      </c>
      <c r="M62" s="133"/>
      <c r="N62" s="133"/>
      <c r="O62" s="133">
        <f t="shared" si="10"/>
        <v>1601.3500000000001</v>
      </c>
      <c r="P62" s="139">
        <v>91.47</v>
      </c>
      <c r="Q62" s="133"/>
      <c r="R62" s="141">
        <v>36.1</v>
      </c>
      <c r="S62" s="141"/>
      <c r="T62" s="133"/>
      <c r="U62" s="133"/>
      <c r="V62" s="133">
        <f t="shared" si="13"/>
        <v>127.57</v>
      </c>
      <c r="W62" s="176">
        <f t="shared" si="11"/>
        <v>1473.7800000000002</v>
      </c>
      <c r="X62" s="132">
        <v>100</v>
      </c>
      <c r="Y62" s="135"/>
      <c r="Z62"/>
    </row>
    <row r="63" spans="1:26" ht="11.25" customHeight="1" x14ac:dyDescent="0.25">
      <c r="E63" s="175">
        <v>8</v>
      </c>
      <c r="F63" s="133" t="s">
        <v>128</v>
      </c>
      <c r="G63" s="133">
        <v>124.80000000000001</v>
      </c>
      <c r="H63" s="133">
        <f t="shared" si="12"/>
        <v>1872.0000000000002</v>
      </c>
      <c r="I63" s="133"/>
      <c r="J63" s="133">
        <f>G63*2</f>
        <v>249.60000000000002</v>
      </c>
      <c r="K63" s="140"/>
      <c r="L63" s="139">
        <f t="shared" si="9"/>
        <v>100</v>
      </c>
      <c r="M63" s="133"/>
      <c r="N63" s="133"/>
      <c r="O63" s="133">
        <f t="shared" si="10"/>
        <v>2221.6000000000004</v>
      </c>
      <c r="P63" s="139">
        <v>137.63</v>
      </c>
      <c r="Q63" s="133"/>
      <c r="R63" s="141">
        <v>45</v>
      </c>
      <c r="S63" s="141"/>
      <c r="T63" s="133"/>
      <c r="U63" s="133"/>
      <c r="V63" s="133">
        <f t="shared" si="13"/>
        <v>182.63</v>
      </c>
      <c r="W63" s="176">
        <f t="shared" si="11"/>
        <v>2038.9700000000003</v>
      </c>
      <c r="X63" s="132">
        <v>100</v>
      </c>
      <c r="Y63" s="135"/>
      <c r="Z63"/>
    </row>
    <row r="64" spans="1:26" ht="11.25" customHeight="1" x14ac:dyDescent="0.25">
      <c r="E64" s="175">
        <v>9</v>
      </c>
      <c r="F64" s="132" t="s">
        <v>129</v>
      </c>
      <c r="G64" s="132">
        <v>100.02</v>
      </c>
      <c r="H64" s="133">
        <f t="shared" si="12"/>
        <v>1500.3</v>
      </c>
      <c r="I64" s="133"/>
      <c r="J64" s="133">
        <f>G64*2</f>
        <v>200.04</v>
      </c>
      <c r="K64" s="140"/>
      <c r="L64" s="139">
        <f t="shared" si="9"/>
        <v>100</v>
      </c>
      <c r="M64" s="132"/>
      <c r="N64" s="133"/>
      <c r="O64" s="133">
        <f t="shared" si="10"/>
        <v>1800.34</v>
      </c>
      <c r="P64" s="133">
        <v>104.2</v>
      </c>
      <c r="Q64" s="133"/>
      <c r="R64" s="141"/>
      <c r="S64" s="141"/>
      <c r="T64" s="133"/>
      <c r="U64" s="133"/>
      <c r="V64" s="133">
        <f t="shared" si="13"/>
        <v>104.2</v>
      </c>
      <c r="W64" s="176">
        <f t="shared" si="11"/>
        <v>1696.1399999999999</v>
      </c>
      <c r="X64" s="132">
        <v>100</v>
      </c>
      <c r="Y64" s="132">
        <v>0</v>
      </c>
      <c r="Z64"/>
    </row>
    <row r="65" spans="5:26" ht="11.25" customHeight="1" x14ac:dyDescent="0.25">
      <c r="E65" s="175">
        <v>10</v>
      </c>
      <c r="F65" s="133" t="s">
        <v>130</v>
      </c>
      <c r="G65" s="133">
        <v>100.02</v>
      </c>
      <c r="H65" s="133">
        <f t="shared" si="12"/>
        <v>1500.3</v>
      </c>
      <c r="I65" s="133"/>
      <c r="J65" s="133">
        <f>G65*2</f>
        <v>200.04</v>
      </c>
      <c r="K65" s="140"/>
      <c r="L65" s="139">
        <f t="shared" si="9"/>
        <v>100</v>
      </c>
      <c r="M65" s="133"/>
      <c r="N65" s="133"/>
      <c r="O65" s="133">
        <f t="shared" si="10"/>
        <v>1800.34</v>
      </c>
      <c r="P65" s="133">
        <v>104.2</v>
      </c>
      <c r="Q65" s="133"/>
      <c r="R65" s="141">
        <v>45</v>
      </c>
      <c r="S65" s="141"/>
      <c r="T65" s="133"/>
      <c r="U65" s="133"/>
      <c r="V65" s="133">
        <f t="shared" si="13"/>
        <v>149.19999999999999</v>
      </c>
      <c r="W65" s="176">
        <f t="shared" si="11"/>
        <v>1651.1399999999999</v>
      </c>
      <c r="X65" s="132">
        <v>100</v>
      </c>
      <c r="Y65" s="135"/>
      <c r="Z65"/>
    </row>
    <row r="66" spans="5:26" ht="11.25" customHeight="1" x14ac:dyDescent="0.25">
      <c r="E66" s="175">
        <v>11</v>
      </c>
      <c r="F66" s="149" t="s">
        <v>131</v>
      </c>
      <c r="G66" s="149">
        <v>216.66</v>
      </c>
      <c r="H66" s="133">
        <f t="shared" si="12"/>
        <v>3249.9</v>
      </c>
      <c r="I66" s="133"/>
      <c r="J66" s="150">
        <v>400</v>
      </c>
      <c r="K66" s="182"/>
      <c r="L66" s="139">
        <f t="shared" si="9"/>
        <v>100</v>
      </c>
      <c r="M66" s="149"/>
      <c r="N66" s="149"/>
      <c r="O66" s="133">
        <f t="shared" si="10"/>
        <v>3749.9</v>
      </c>
      <c r="P66" s="149">
        <v>260.39</v>
      </c>
      <c r="Q66" s="149">
        <v>200</v>
      </c>
      <c r="R66" s="151"/>
      <c r="S66" s="151"/>
      <c r="T66" s="149"/>
      <c r="U66" s="149"/>
      <c r="V66" s="133">
        <f t="shared" si="13"/>
        <v>460.39</v>
      </c>
      <c r="W66" s="176">
        <f t="shared" si="11"/>
        <v>3289.51</v>
      </c>
      <c r="X66" s="183">
        <v>100</v>
      </c>
      <c r="Y66" s="183"/>
      <c r="Z66"/>
    </row>
    <row r="67" spans="5:26" ht="11.25" customHeight="1" x14ac:dyDescent="0.25">
      <c r="E67" s="175">
        <v>12</v>
      </c>
      <c r="F67" s="149" t="s">
        <v>235</v>
      </c>
      <c r="G67" s="132">
        <v>100.02</v>
      </c>
      <c r="H67" s="133">
        <f t="shared" si="12"/>
        <v>1500.3</v>
      </c>
      <c r="I67" s="133"/>
      <c r="J67" s="150">
        <f>G67*2</f>
        <v>200.04</v>
      </c>
      <c r="K67" s="182"/>
      <c r="L67" s="139">
        <f t="shared" si="9"/>
        <v>250</v>
      </c>
      <c r="M67" s="149"/>
      <c r="N67" s="149"/>
      <c r="O67" s="133">
        <f t="shared" si="10"/>
        <v>1950.34</v>
      </c>
      <c r="P67" s="133">
        <v>113.8</v>
      </c>
      <c r="Q67" s="149"/>
      <c r="R67" s="151"/>
      <c r="S67" s="151"/>
      <c r="T67" s="149"/>
      <c r="U67" s="149"/>
      <c r="V67" s="133">
        <f t="shared" si="13"/>
        <v>113.8</v>
      </c>
      <c r="W67" s="176">
        <f t="shared" si="11"/>
        <v>1836.54</v>
      </c>
      <c r="X67" s="183"/>
      <c r="Y67" s="183">
        <v>250</v>
      </c>
      <c r="Z67"/>
    </row>
    <row r="68" spans="5:26" x14ac:dyDescent="0.25">
      <c r="G68" s="2"/>
      <c r="L68" s="185"/>
      <c r="P68" s="43"/>
      <c r="Q68" s="196"/>
      <c r="R68" s="43"/>
      <c r="T68" s="186"/>
      <c r="W68" s="185"/>
      <c r="X68" s="185" t="e">
        <f>#REF!+'[5]BASE '!AB85</f>
        <v>#REF!</v>
      </c>
      <c r="Z68" s="2"/>
    </row>
    <row r="69" spans="5:26" x14ac:dyDescent="0.25">
      <c r="G69" s="2"/>
      <c r="P69" s="43"/>
      <c r="Q69" s="196"/>
      <c r="R69" s="43"/>
      <c r="T69" s="186"/>
      <c r="U69" s="185"/>
      <c r="X69" s="185"/>
      <c r="Z69" s="2"/>
    </row>
    <row r="70" spans="5:26" x14ac:dyDescent="0.25"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9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5:26" x14ac:dyDescent="0.25">
      <c r="G71" s="2"/>
      <c r="P71" s="43"/>
      <c r="Q71" s="196"/>
      <c r="R71" s="43"/>
      <c r="T71" s="186"/>
      <c r="U71" s="185"/>
      <c r="X71" s="43"/>
      <c r="Z71" s="2"/>
    </row>
    <row r="72" spans="5:26" x14ac:dyDescent="0.25">
      <c r="G72" s="2"/>
      <c r="P72" s="43"/>
      <c r="Q72" s="196"/>
      <c r="R72" s="43"/>
      <c r="T72" s="186"/>
      <c r="X72" s="43"/>
      <c r="Z72" s="2"/>
    </row>
    <row r="73" spans="5:26" x14ac:dyDescent="0.25">
      <c r="G73" s="2"/>
      <c r="P73" s="43"/>
      <c r="Q73" s="197"/>
      <c r="R73" s="43"/>
      <c r="T73" s="186"/>
      <c r="X73" s="43"/>
      <c r="Z73" s="2"/>
    </row>
    <row r="74" spans="5:26" x14ac:dyDescent="0.25">
      <c r="G74" s="2"/>
      <c r="P74" s="43"/>
      <c r="Q74" s="196"/>
      <c r="R74" s="43"/>
      <c r="T74" s="186"/>
      <c r="X74" s="43"/>
      <c r="Z74" s="2"/>
    </row>
    <row r="75" spans="5:26" x14ac:dyDescent="0.25">
      <c r="G75" s="2"/>
      <c r="P75" s="43"/>
      <c r="Q75" s="196"/>
      <c r="R75" s="43"/>
      <c r="T75" s="186"/>
      <c r="X75" s="43"/>
      <c r="Z75" s="2"/>
    </row>
    <row r="76" spans="5:26" x14ac:dyDescent="0.25">
      <c r="G76" s="2"/>
      <c r="P76" s="43"/>
      <c r="Q76" s="196"/>
      <c r="R76" s="43"/>
      <c r="T76" s="186"/>
      <c r="X76" s="43"/>
      <c r="Z76" s="2"/>
    </row>
    <row r="77" spans="5:26" x14ac:dyDescent="0.25">
      <c r="G77" s="2"/>
      <c r="P77" s="43"/>
      <c r="Q77" s="196"/>
      <c r="R77" s="43"/>
      <c r="T77" s="186"/>
      <c r="X77" s="43"/>
      <c r="Z77" s="2"/>
    </row>
    <row r="78" spans="5:26" x14ac:dyDescent="0.25">
      <c r="G78" s="2"/>
      <c r="P78" s="43"/>
      <c r="Q78" s="196"/>
      <c r="R78" s="43"/>
      <c r="T78" s="186"/>
      <c r="X78" s="43"/>
      <c r="Z78" s="2"/>
    </row>
    <row r="79" spans="5:26" x14ac:dyDescent="0.25">
      <c r="G79" s="2"/>
      <c r="P79" s="43"/>
      <c r="Q79" s="196"/>
      <c r="R79" s="43"/>
      <c r="T79" s="186"/>
      <c r="X79" s="43"/>
      <c r="Z79" s="2"/>
    </row>
    <row r="92" spans="1:25" s="118" customFormat="1" ht="15.75" thickBot="1" x14ac:dyDescent="0.3">
      <c r="A92" s="2"/>
      <c r="B92" s="2"/>
      <c r="C92" s="2"/>
      <c r="D92" s="2"/>
      <c r="E92" s="2"/>
      <c r="F92" s="2" t="s">
        <v>289</v>
      </c>
      <c r="G92" s="43"/>
      <c r="H92" s="43"/>
      <c r="I92" s="43"/>
      <c r="J92" s="43"/>
      <c r="K92" s="43"/>
      <c r="L92" s="43"/>
      <c r="M92" s="43"/>
      <c r="N92" s="43"/>
      <c r="O92" s="43"/>
      <c r="P92" s="196"/>
      <c r="Q92" s="43"/>
      <c r="R92" s="186"/>
      <c r="S92" s="186"/>
      <c r="T92" s="43"/>
      <c r="U92" s="43"/>
      <c r="V92" s="43"/>
      <c r="W92" s="43"/>
      <c r="X92" s="2"/>
      <c r="Y92" s="2"/>
    </row>
    <row r="93" spans="1:25" s="118" customFormat="1" ht="33" customHeight="1" thickBot="1" x14ac:dyDescent="0.3">
      <c r="A93" s="123" t="s">
        <v>279</v>
      </c>
      <c r="B93" s="67" t="s">
        <v>249</v>
      </c>
      <c r="C93" s="67" t="s">
        <v>250</v>
      </c>
      <c r="D93" s="67" t="s">
        <v>251</v>
      </c>
      <c r="E93" s="124" t="s">
        <v>0</v>
      </c>
      <c r="F93" s="125" t="s">
        <v>280</v>
      </c>
      <c r="G93" s="126" t="s">
        <v>281</v>
      </c>
      <c r="H93" s="126" t="s">
        <v>254</v>
      </c>
      <c r="I93" s="126" t="s">
        <v>257</v>
      </c>
      <c r="J93" s="126" t="s">
        <v>261</v>
      </c>
      <c r="K93" s="126" t="s">
        <v>282</v>
      </c>
      <c r="L93" s="126" t="s">
        <v>283</v>
      </c>
      <c r="M93" s="174" t="s">
        <v>264</v>
      </c>
      <c r="N93" s="126" t="s">
        <v>265</v>
      </c>
      <c r="O93" s="126" t="s">
        <v>55</v>
      </c>
      <c r="P93" s="194" t="s">
        <v>1</v>
      </c>
      <c r="Q93" s="126" t="s">
        <v>284</v>
      </c>
      <c r="R93" s="128" t="s">
        <v>56</v>
      </c>
      <c r="S93" s="128"/>
      <c r="T93" s="126" t="s">
        <v>285</v>
      </c>
      <c r="U93" s="126" t="s">
        <v>286</v>
      </c>
      <c r="V93" s="126" t="s">
        <v>272</v>
      </c>
      <c r="W93" s="126" t="s">
        <v>273</v>
      </c>
      <c r="X93" s="126" t="s">
        <v>287</v>
      </c>
      <c r="Y93" s="126" t="s">
        <v>288</v>
      </c>
    </row>
    <row r="94" spans="1:25" s="118" customFormat="1" ht="9" customHeight="1" x14ac:dyDescent="0.25">
      <c r="A94" s="4" t="s">
        <v>24</v>
      </c>
      <c r="B94" s="73" t="s">
        <v>58</v>
      </c>
      <c r="C94" s="73" t="s">
        <v>25</v>
      </c>
      <c r="D94" s="73"/>
      <c r="E94" s="148">
        <v>2</v>
      </c>
      <c r="F94" s="149" t="s">
        <v>240</v>
      </c>
      <c r="G94" s="150">
        <v>216.67</v>
      </c>
      <c r="H94" s="132">
        <f>G94*15</f>
        <v>3250.0499999999997</v>
      </c>
      <c r="I94" s="150"/>
      <c r="J94" s="149">
        <v>0</v>
      </c>
      <c r="K94" s="149"/>
      <c r="L94" s="150"/>
      <c r="M94" s="150"/>
      <c r="N94" s="149"/>
      <c r="O94" s="150">
        <f>SUM(H94:N94)</f>
        <v>3250.0499999999997</v>
      </c>
      <c r="P94" s="149">
        <v>249.52</v>
      </c>
      <c r="Q94" s="149"/>
      <c r="R94" s="151"/>
      <c r="S94" s="151"/>
      <c r="T94" s="149"/>
      <c r="U94" s="149"/>
      <c r="V94" s="150">
        <f>SUM(P94:U94)</f>
        <v>249.52</v>
      </c>
      <c r="W94" s="135">
        <f>O94-V94</f>
        <v>3000.5299999999997</v>
      </c>
      <c r="X94" s="133">
        <v>100</v>
      </c>
      <c r="Y94" s="133"/>
    </row>
    <row r="107" spans="1:25" s="118" customFormat="1" ht="15.75" thickBot="1" x14ac:dyDescent="0.3">
      <c r="A107" s="2"/>
      <c r="B107" s="2"/>
      <c r="C107" s="2"/>
      <c r="D107" s="2"/>
      <c r="E107" s="2"/>
      <c r="F107" s="2" t="s">
        <v>289</v>
      </c>
      <c r="G107" s="43"/>
      <c r="H107" s="43"/>
      <c r="I107" s="43"/>
      <c r="J107" s="43"/>
      <c r="K107" s="43"/>
      <c r="L107" s="43"/>
      <c r="M107" s="43"/>
      <c r="N107" s="43"/>
      <c r="O107" s="43"/>
      <c r="P107" s="196"/>
      <c r="Q107" s="43"/>
      <c r="R107" s="186"/>
      <c r="S107" s="186"/>
      <c r="T107" s="43"/>
      <c r="U107" s="43"/>
      <c r="V107" s="43"/>
      <c r="W107" s="43"/>
      <c r="X107" s="2"/>
      <c r="Y107" s="2"/>
    </row>
    <row r="108" spans="1:25" s="118" customFormat="1" ht="33" customHeight="1" thickBot="1" x14ac:dyDescent="0.3">
      <c r="A108" s="123" t="s">
        <v>279</v>
      </c>
      <c r="B108" s="67" t="s">
        <v>249</v>
      </c>
      <c r="C108" s="67" t="s">
        <v>250</v>
      </c>
      <c r="D108" s="67" t="s">
        <v>251</v>
      </c>
      <c r="E108" s="124" t="s">
        <v>0</v>
      </c>
      <c r="F108" s="125" t="s">
        <v>280</v>
      </c>
      <c r="G108" s="126" t="s">
        <v>281</v>
      </c>
      <c r="H108" s="126" t="s">
        <v>254</v>
      </c>
      <c r="I108" s="126" t="s">
        <v>257</v>
      </c>
      <c r="J108" s="126" t="s">
        <v>261</v>
      </c>
      <c r="K108" s="126" t="s">
        <v>282</v>
      </c>
      <c r="L108" s="126" t="s">
        <v>283</v>
      </c>
      <c r="M108" s="174" t="s">
        <v>264</v>
      </c>
      <c r="N108" s="126" t="s">
        <v>265</v>
      </c>
      <c r="O108" s="126" t="s">
        <v>55</v>
      </c>
      <c r="P108" s="194" t="s">
        <v>1</v>
      </c>
      <c r="Q108" s="126" t="s">
        <v>284</v>
      </c>
      <c r="R108" s="128" t="s">
        <v>56</v>
      </c>
      <c r="S108" s="128"/>
      <c r="T108" s="126" t="s">
        <v>285</v>
      </c>
      <c r="U108" s="126" t="s">
        <v>286</v>
      </c>
      <c r="V108" s="126" t="s">
        <v>272</v>
      </c>
      <c r="W108" s="126" t="s">
        <v>273</v>
      </c>
      <c r="X108" s="126" t="s">
        <v>287</v>
      </c>
      <c r="Y108" s="126" t="s">
        <v>288</v>
      </c>
    </row>
    <row r="109" spans="1:25" s="118" customFormat="1" ht="9" customHeight="1" x14ac:dyDescent="0.25">
      <c r="A109" s="4" t="s">
        <v>24</v>
      </c>
      <c r="B109" s="73" t="s">
        <v>58</v>
      </c>
      <c r="C109" s="73" t="s">
        <v>25</v>
      </c>
      <c r="D109" s="73"/>
      <c r="E109" s="148">
        <v>2</v>
      </c>
      <c r="F109" s="149" t="s">
        <v>293</v>
      </c>
      <c r="G109" s="132">
        <v>104</v>
      </c>
      <c r="H109" s="132">
        <f>G109*15</f>
        <v>1560</v>
      </c>
      <c r="I109" s="131"/>
      <c r="J109" s="133">
        <f>G109*10</f>
        <v>1040</v>
      </c>
      <c r="K109" s="132"/>
      <c r="L109" s="131">
        <f>Y109+X109</f>
        <v>100</v>
      </c>
      <c r="M109" s="132"/>
      <c r="N109" s="132">
        <v>0</v>
      </c>
      <c r="O109" s="132">
        <f>SUM(H109:N109)</f>
        <v>2700</v>
      </c>
      <c r="P109" s="131">
        <v>186.68</v>
      </c>
      <c r="Q109" s="149"/>
      <c r="R109" s="151"/>
      <c r="S109" s="151"/>
      <c r="T109" s="149"/>
      <c r="U109" s="149"/>
      <c r="V109" s="150">
        <f>SUM(P109:U109)</f>
        <v>186.68</v>
      </c>
      <c r="W109" s="135">
        <f>O109-V109</f>
        <v>2513.3200000000002</v>
      </c>
      <c r="X109" s="133">
        <v>100</v>
      </c>
      <c r="Y109" s="133"/>
    </row>
  </sheetData>
  <pageMargins left="0.42" right="0.42" top="0" bottom="0" header="0" footer="0"/>
  <pageSetup paperSize="190" scale="9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8"/>
  <sheetViews>
    <sheetView topLeftCell="E4" zoomScale="90" zoomScaleNormal="90" workbookViewId="0">
      <selection activeCell="E29" sqref="A29:XFD29"/>
    </sheetView>
  </sheetViews>
  <sheetFormatPr baseColWidth="10" defaultRowHeight="15" x14ac:dyDescent="0.25"/>
  <cols>
    <col min="1" max="1" width="12" style="106" hidden="1" customWidth="1"/>
    <col min="2" max="2" width="11" style="2" hidden="1" customWidth="1"/>
    <col min="3" max="3" width="28.42578125" style="2" hidden="1" customWidth="1"/>
    <col min="4" max="4" width="13" style="2" hidden="1" customWidth="1"/>
    <col min="5" max="5" width="4.85546875" style="46" bestFit="1" customWidth="1"/>
    <col min="6" max="6" width="22.42578125" style="46" bestFit="1" customWidth="1"/>
    <col min="7" max="7" width="9.28515625" style="46" bestFit="1" customWidth="1"/>
    <col min="8" max="9" width="9.28515625" style="46" customWidth="1"/>
    <col min="10" max="10" width="14.7109375" style="46" customWidth="1"/>
    <col min="11" max="11" width="9.28515625" style="46" customWidth="1"/>
    <col min="12" max="12" width="9.7109375" style="46" bestFit="1" customWidth="1"/>
    <col min="13" max="16" width="8.7109375" style="46" bestFit="1" customWidth="1"/>
    <col min="17" max="17" width="7.28515625" style="46" bestFit="1" customWidth="1"/>
    <col min="18" max="19" width="9.28515625" style="46" bestFit="1" customWidth="1"/>
    <col min="20" max="20" width="10" style="46" bestFit="1" customWidth="1"/>
    <col min="21" max="21" width="9.5703125" style="191" customWidth="1"/>
    <col min="22" max="22" width="8.42578125" style="46" bestFit="1" customWidth="1"/>
    <col min="23" max="23" width="7.42578125" style="46" bestFit="1" customWidth="1"/>
    <col min="24" max="26" width="8.7109375" style="46" bestFit="1" customWidth="1"/>
    <col min="27" max="27" width="9.42578125" style="46" bestFit="1" customWidth="1"/>
    <col min="28" max="28" width="9.28515625" style="46" customWidth="1"/>
    <col min="29" max="30" width="9.28515625" style="106" hidden="1" customWidth="1"/>
    <col min="31" max="32" width="9" customWidth="1"/>
  </cols>
  <sheetData>
    <row r="1" spans="1:31" ht="11.25" customHeight="1" x14ac:dyDescent="0.3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4"/>
      <c r="AD1" s="44"/>
    </row>
    <row r="2" spans="1:31" ht="11.25" customHeight="1" x14ac:dyDescent="0.3">
      <c r="A2" s="47"/>
      <c r="B2" s="1"/>
      <c r="C2" s="1"/>
      <c r="D2" s="1"/>
      <c r="E2" s="48"/>
      <c r="F2" s="48"/>
      <c r="G2" s="48"/>
      <c r="H2" s="48"/>
      <c r="I2" s="48"/>
      <c r="J2" s="49" t="s">
        <v>246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8"/>
      <c r="W2" s="48"/>
      <c r="X2" s="48"/>
      <c r="Y2" s="48"/>
      <c r="Z2" s="48"/>
      <c r="AA2" s="48"/>
      <c r="AC2" s="47"/>
      <c r="AD2" s="47"/>
    </row>
    <row r="3" spans="1:31" ht="11.25" customHeight="1" x14ac:dyDescent="0.3">
      <c r="A3" s="50"/>
      <c r="B3" s="1"/>
      <c r="C3" s="1"/>
      <c r="D3" s="1"/>
      <c r="E3" s="51"/>
      <c r="F3" s="51"/>
      <c r="G3" s="51"/>
      <c r="H3" s="51"/>
      <c r="I3" s="51"/>
      <c r="J3" s="52" t="str">
        <f>[6]EVENTUAL!J2</f>
        <v>NOMINA DEL  15 AL 31 DE MARZO DEL 2017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189"/>
      <c r="V3" s="51"/>
      <c r="W3" s="51"/>
      <c r="X3" s="51"/>
      <c r="Y3" s="51"/>
      <c r="Z3" s="51"/>
      <c r="AA3" s="51"/>
      <c r="AC3" s="50"/>
      <c r="AD3" s="50"/>
    </row>
    <row r="4" spans="1:31" s="65" customFormat="1" thickBot="1" x14ac:dyDescent="0.35">
      <c r="A4" s="53"/>
      <c r="B4" s="54"/>
      <c r="C4" s="54"/>
      <c r="D4" s="54"/>
      <c r="E4" s="55"/>
      <c r="F4" s="56"/>
      <c r="G4" s="57">
        <v>11301</v>
      </c>
      <c r="H4" s="58">
        <v>13301</v>
      </c>
      <c r="I4" s="58">
        <v>13301</v>
      </c>
      <c r="J4" s="57">
        <v>11301</v>
      </c>
      <c r="K4" s="57">
        <v>15404</v>
      </c>
      <c r="L4" s="57">
        <v>15901</v>
      </c>
      <c r="M4" s="57">
        <v>17103</v>
      </c>
      <c r="N4" s="57">
        <v>17103</v>
      </c>
      <c r="O4" s="57">
        <v>15406</v>
      </c>
      <c r="P4" s="57">
        <v>15903</v>
      </c>
      <c r="Q4" s="59">
        <v>1197</v>
      </c>
      <c r="R4" s="57">
        <v>13204</v>
      </c>
      <c r="S4" s="57">
        <v>13204</v>
      </c>
      <c r="T4" s="57"/>
      <c r="U4" s="190">
        <v>2111.1</v>
      </c>
      <c r="V4" s="57">
        <v>52010102</v>
      </c>
      <c r="W4" s="57">
        <v>52010501</v>
      </c>
      <c r="X4" s="60">
        <v>52010304</v>
      </c>
      <c r="Y4" s="57">
        <v>52010104</v>
      </c>
      <c r="Z4" s="61">
        <v>52010305</v>
      </c>
      <c r="AA4" s="62"/>
      <c r="AB4" s="63"/>
      <c r="AC4" s="64" t="s">
        <v>247</v>
      </c>
      <c r="AD4" s="64" t="s">
        <v>247</v>
      </c>
    </row>
    <row r="5" spans="1:31" ht="37.9" customHeight="1" thickBot="1" x14ac:dyDescent="0.35">
      <c r="A5" s="66" t="s">
        <v>248</v>
      </c>
      <c r="B5" s="67" t="s">
        <v>249</v>
      </c>
      <c r="C5" s="67" t="s">
        <v>250</v>
      </c>
      <c r="D5" s="67" t="s">
        <v>251</v>
      </c>
      <c r="E5" s="68" t="s">
        <v>252</v>
      </c>
      <c r="F5" s="69" t="s">
        <v>253</v>
      </c>
      <c r="G5" s="69" t="s">
        <v>254</v>
      </c>
      <c r="H5" s="70" t="s">
        <v>255</v>
      </c>
      <c r="I5" s="70" t="s">
        <v>255</v>
      </c>
      <c r="J5" s="69" t="s">
        <v>256</v>
      </c>
      <c r="K5" s="70" t="s">
        <v>257</v>
      </c>
      <c r="L5" s="69" t="s">
        <v>258</v>
      </c>
      <c r="M5" s="69" t="s">
        <v>259</v>
      </c>
      <c r="N5" s="69" t="s">
        <v>260</v>
      </c>
      <c r="O5" s="69" t="s">
        <v>261</v>
      </c>
      <c r="P5" s="69" t="s">
        <v>262</v>
      </c>
      <c r="Q5" s="69" t="s">
        <v>263</v>
      </c>
      <c r="R5" s="69" t="s">
        <v>264</v>
      </c>
      <c r="S5" s="69" t="s">
        <v>265</v>
      </c>
      <c r="T5" s="69" t="s">
        <v>266</v>
      </c>
      <c r="U5" s="71" t="s">
        <v>1</v>
      </c>
      <c r="V5" s="69" t="s">
        <v>267</v>
      </c>
      <c r="W5" s="69" t="s">
        <v>268</v>
      </c>
      <c r="X5" s="69" t="s">
        <v>269</v>
      </c>
      <c r="Y5" s="69" t="s">
        <v>270</v>
      </c>
      <c r="Z5" s="69" t="s">
        <v>271</v>
      </c>
      <c r="AA5" s="69" t="s">
        <v>272</v>
      </c>
      <c r="AB5" s="71" t="s">
        <v>273</v>
      </c>
      <c r="AC5" s="66" t="s">
        <v>258</v>
      </c>
      <c r="AD5" s="66" t="s">
        <v>258</v>
      </c>
    </row>
    <row r="6" spans="1:31" ht="12.6" customHeight="1" x14ac:dyDescent="0.3">
      <c r="A6" s="72" t="s">
        <v>2</v>
      </c>
      <c r="B6" s="73" t="s">
        <v>3</v>
      </c>
      <c r="C6" s="73" t="s">
        <v>4</v>
      </c>
      <c r="D6" s="73"/>
      <c r="E6" s="74">
        <v>28</v>
      </c>
      <c r="F6" s="75" t="s">
        <v>5</v>
      </c>
      <c r="G6" s="76">
        <v>3575.07</v>
      </c>
      <c r="H6" s="76"/>
      <c r="I6" s="76"/>
      <c r="J6" s="76">
        <v>160.38</v>
      </c>
      <c r="K6" s="76"/>
      <c r="L6" s="76">
        <f>AC6+AD6</f>
        <v>326.42</v>
      </c>
      <c r="M6" s="76">
        <v>325.51</v>
      </c>
      <c r="N6" s="76">
        <v>310.01</v>
      </c>
      <c r="O6" s="76"/>
      <c r="P6" s="76">
        <v>194.4</v>
      </c>
      <c r="Q6" s="77"/>
      <c r="R6" s="77"/>
      <c r="S6" s="77">
        <f>G6/15*20*(0.25)</f>
        <v>1191.69</v>
      </c>
      <c r="T6" s="78">
        <f t="shared" ref="T6:T15" si="0">SUM(G6:S6)</f>
        <v>6083.48</v>
      </c>
      <c r="U6" s="79">
        <v>752.24</v>
      </c>
      <c r="V6" s="78">
        <v>72.36</v>
      </c>
      <c r="W6" s="78">
        <v>18.55</v>
      </c>
      <c r="X6" s="78"/>
      <c r="Y6" s="78"/>
      <c r="Z6" s="78"/>
      <c r="AA6" s="78">
        <f t="shared" ref="AA6:AA15" si="1">SUM(U6:Z6)</f>
        <v>843.15</v>
      </c>
      <c r="AB6" s="78">
        <f>T6-AA6</f>
        <v>5240.33</v>
      </c>
      <c r="AC6" s="80">
        <v>326.42</v>
      </c>
      <c r="AD6" s="80"/>
    </row>
    <row r="7" spans="1:31" ht="12.6" customHeight="1" x14ac:dyDescent="0.3">
      <c r="A7" s="81" t="s">
        <v>6</v>
      </c>
      <c r="B7" s="73" t="s">
        <v>3</v>
      </c>
      <c r="C7" s="73" t="s">
        <v>7</v>
      </c>
      <c r="D7" s="73"/>
      <c r="E7" s="82">
        <v>31</v>
      </c>
      <c r="F7" s="83" t="s">
        <v>8</v>
      </c>
      <c r="G7" s="76">
        <v>4090.7400000000002</v>
      </c>
      <c r="H7" s="76"/>
      <c r="I7" s="76"/>
      <c r="J7" s="76" t="s">
        <v>274</v>
      </c>
      <c r="K7" s="76"/>
      <c r="L7" s="76">
        <f t="shared" ref="L7:L28" si="2">AC7+AD7</f>
        <v>2303.31</v>
      </c>
      <c r="M7" s="76" t="s">
        <v>274</v>
      </c>
      <c r="N7" s="76" t="s">
        <v>274</v>
      </c>
      <c r="O7" s="76"/>
      <c r="P7" s="76" t="s">
        <v>274</v>
      </c>
      <c r="Q7" s="84"/>
      <c r="R7" s="84"/>
      <c r="S7" s="84"/>
      <c r="T7" s="78">
        <f t="shared" si="0"/>
        <v>6394.05</v>
      </c>
      <c r="U7" s="85">
        <v>818.58</v>
      </c>
      <c r="V7" s="86">
        <v>111.49</v>
      </c>
      <c r="W7" s="86">
        <v>23.41</v>
      </c>
      <c r="X7" s="86"/>
      <c r="Y7" s="86"/>
      <c r="Z7" s="86"/>
      <c r="AA7" s="78">
        <f t="shared" si="1"/>
        <v>953.48</v>
      </c>
      <c r="AB7" s="78">
        <f t="shared" ref="AB7:AB28" si="3">T7-AA7</f>
        <v>5440.57</v>
      </c>
      <c r="AC7" s="80">
        <v>2303.31</v>
      </c>
      <c r="AD7" s="80"/>
    </row>
    <row r="8" spans="1:31" ht="12.6" customHeight="1" x14ac:dyDescent="0.25">
      <c r="A8" s="87" t="s">
        <v>6</v>
      </c>
      <c r="B8" s="73" t="s">
        <v>3</v>
      </c>
      <c r="C8" s="73" t="s">
        <v>9</v>
      </c>
      <c r="D8" s="73"/>
      <c r="E8" s="88">
        <v>82</v>
      </c>
      <c r="F8" s="89" t="s">
        <v>10</v>
      </c>
      <c r="G8" s="76">
        <v>2351.3200000000002</v>
      </c>
      <c r="H8" s="76"/>
      <c r="I8" s="76">
        <f>H8</f>
        <v>0</v>
      </c>
      <c r="J8" s="76">
        <v>125.97</v>
      </c>
      <c r="K8" s="76"/>
      <c r="L8" s="76">
        <f t="shared" si="2"/>
        <v>567.79</v>
      </c>
      <c r="M8" s="76">
        <v>170.14</v>
      </c>
      <c r="N8" s="76">
        <v>170.14</v>
      </c>
      <c r="O8" s="76"/>
      <c r="P8" s="76">
        <v>108</v>
      </c>
      <c r="Q8" s="76"/>
      <c r="R8" s="76"/>
      <c r="S8" s="76"/>
      <c r="T8" s="78">
        <f t="shared" si="0"/>
        <v>3493.3599999999997</v>
      </c>
      <c r="U8" s="90">
        <v>150.88999999999999</v>
      </c>
      <c r="V8" s="91">
        <v>46.93</v>
      </c>
      <c r="W8" s="91">
        <v>18.899999999999999</v>
      </c>
      <c r="X8" s="91"/>
      <c r="Y8" s="91">
        <v>412.98</v>
      </c>
      <c r="Z8" s="91"/>
      <c r="AA8" s="78">
        <f t="shared" si="1"/>
        <v>629.70000000000005</v>
      </c>
      <c r="AB8" s="78">
        <f t="shared" si="3"/>
        <v>2863.66</v>
      </c>
      <c r="AC8" s="80">
        <v>567.79</v>
      </c>
      <c r="AD8" s="80"/>
    </row>
    <row r="9" spans="1:31" ht="12.6" customHeight="1" x14ac:dyDescent="0.3">
      <c r="A9" s="87" t="s">
        <v>6</v>
      </c>
      <c r="B9" s="73" t="s">
        <v>3</v>
      </c>
      <c r="C9" s="73" t="s">
        <v>9</v>
      </c>
      <c r="D9" s="73"/>
      <c r="E9" s="88">
        <v>110</v>
      </c>
      <c r="F9" s="92" t="s">
        <v>275</v>
      </c>
      <c r="G9" s="76">
        <v>2313.23</v>
      </c>
      <c r="H9" s="76"/>
      <c r="I9" s="76"/>
      <c r="J9" s="76">
        <v>160.38</v>
      </c>
      <c r="K9" s="76"/>
      <c r="L9" s="76">
        <f t="shared" si="2"/>
        <v>608.89</v>
      </c>
      <c r="M9" s="76">
        <v>193.79</v>
      </c>
      <c r="N9" s="76">
        <v>193.79</v>
      </c>
      <c r="O9" s="76">
        <f>G9/15*4</f>
        <v>616.86133333333339</v>
      </c>
      <c r="P9" s="76">
        <v>194.4</v>
      </c>
      <c r="Q9" s="76"/>
      <c r="R9" s="76"/>
      <c r="S9" s="76"/>
      <c r="T9" s="78">
        <f t="shared" si="0"/>
        <v>4281.3413333333328</v>
      </c>
      <c r="U9" s="90">
        <v>394.72</v>
      </c>
      <c r="V9" s="91">
        <v>48.11</v>
      </c>
      <c r="W9" s="91">
        <v>19.38</v>
      </c>
      <c r="X9" s="91"/>
      <c r="Y9" s="91">
        <v>624.52</v>
      </c>
      <c r="Z9" s="91"/>
      <c r="AA9" s="78">
        <f t="shared" si="1"/>
        <v>1086.73</v>
      </c>
      <c r="AB9" s="78">
        <f t="shared" si="3"/>
        <v>3194.6113333333328</v>
      </c>
      <c r="AC9" s="80">
        <v>608.89</v>
      </c>
      <c r="AD9" s="80"/>
    </row>
    <row r="10" spans="1:31" ht="12.6" customHeight="1" x14ac:dyDescent="0.3">
      <c r="A10" s="87" t="s">
        <v>11</v>
      </c>
      <c r="B10" s="73" t="s">
        <v>3</v>
      </c>
      <c r="C10" s="73" t="s">
        <v>12</v>
      </c>
      <c r="D10" s="73"/>
      <c r="E10" s="88">
        <v>121</v>
      </c>
      <c r="F10" s="92" t="s">
        <v>13</v>
      </c>
      <c r="G10" s="76">
        <v>2791.41</v>
      </c>
      <c r="H10" s="76"/>
      <c r="I10" s="76"/>
      <c r="J10" s="76">
        <v>188.44</v>
      </c>
      <c r="K10" s="76"/>
      <c r="L10" s="76">
        <f t="shared" si="2"/>
        <v>1300</v>
      </c>
      <c r="M10" s="76">
        <v>237.33</v>
      </c>
      <c r="N10" s="76">
        <v>237.33</v>
      </c>
      <c r="O10" s="76">
        <f>G10/15*2</f>
        <v>372.18799999999999</v>
      </c>
      <c r="P10" s="76">
        <v>97.2</v>
      </c>
      <c r="Q10" s="76"/>
      <c r="R10" s="76"/>
      <c r="S10" s="76">
        <f>R10*0.28</f>
        <v>0</v>
      </c>
      <c r="T10" s="78">
        <f t="shared" si="0"/>
        <v>5223.8980000000001</v>
      </c>
      <c r="U10" s="90">
        <v>568.64</v>
      </c>
      <c r="V10" s="91">
        <v>50.86</v>
      </c>
      <c r="W10" s="91">
        <v>17.350000000000001</v>
      </c>
      <c r="X10" s="91">
        <v>500</v>
      </c>
      <c r="Y10" s="91"/>
      <c r="Z10" s="91"/>
      <c r="AA10" s="78">
        <f t="shared" si="1"/>
        <v>1136.8499999999999</v>
      </c>
      <c r="AB10" s="78">
        <f t="shared" si="3"/>
        <v>4087.0480000000002</v>
      </c>
      <c r="AC10" s="80">
        <v>800</v>
      </c>
      <c r="AD10" s="80">
        <v>500</v>
      </c>
    </row>
    <row r="11" spans="1:31" ht="12.6" customHeight="1" x14ac:dyDescent="0.3">
      <c r="A11" s="87" t="s">
        <v>14</v>
      </c>
      <c r="B11" s="73" t="s">
        <v>3</v>
      </c>
      <c r="C11" s="73" t="s">
        <v>15</v>
      </c>
      <c r="D11" s="73"/>
      <c r="E11" s="88">
        <v>11</v>
      </c>
      <c r="F11" s="93" t="s">
        <v>16</v>
      </c>
      <c r="G11" s="76">
        <f>2156.55/15*14</f>
        <v>2012.7800000000002</v>
      </c>
      <c r="H11" s="76"/>
      <c r="I11" s="76">
        <f>H11</f>
        <v>0</v>
      </c>
      <c r="J11" s="76">
        <f>200</f>
        <v>200</v>
      </c>
      <c r="K11" s="76"/>
      <c r="L11" s="76">
        <f t="shared" si="2"/>
        <v>810.81</v>
      </c>
      <c r="M11" s="76">
        <v>190.88</v>
      </c>
      <c r="N11" s="76">
        <v>190.88</v>
      </c>
      <c r="O11" s="76">
        <f>G11/15*8</f>
        <v>1073.4826666666668</v>
      </c>
      <c r="P11" s="76">
        <v>237.61</v>
      </c>
      <c r="Q11" s="76"/>
      <c r="R11" s="76"/>
      <c r="S11" s="76"/>
      <c r="T11" s="78">
        <f t="shared" si="0"/>
        <v>4716.4426666666668</v>
      </c>
      <c r="U11" s="90">
        <v>472.69</v>
      </c>
      <c r="V11" s="91">
        <v>44.28</v>
      </c>
      <c r="W11" s="91">
        <v>19.088200000000001</v>
      </c>
      <c r="X11" s="91">
        <v>500</v>
      </c>
      <c r="Y11" s="91"/>
      <c r="Z11" s="91"/>
      <c r="AA11" s="78">
        <f t="shared" si="1"/>
        <v>1036.0581999999999</v>
      </c>
      <c r="AB11" s="78">
        <f t="shared" si="3"/>
        <v>3680.3844666666669</v>
      </c>
      <c r="AC11" s="80">
        <f>810.81</f>
        <v>810.81</v>
      </c>
      <c r="AD11" s="80"/>
    </row>
    <row r="12" spans="1:31" ht="12.6" customHeight="1" x14ac:dyDescent="0.3">
      <c r="A12" s="87" t="s">
        <v>14</v>
      </c>
      <c r="B12" s="73" t="s">
        <v>3</v>
      </c>
      <c r="C12" s="73" t="s">
        <v>17</v>
      </c>
      <c r="D12" s="73"/>
      <c r="E12" s="88">
        <v>21</v>
      </c>
      <c r="F12" s="93" t="s">
        <v>18</v>
      </c>
      <c r="G12" s="76">
        <v>2680.19</v>
      </c>
      <c r="H12" s="76"/>
      <c r="I12" s="76"/>
      <c r="J12" s="76">
        <v>90.53</v>
      </c>
      <c r="K12" s="76"/>
      <c r="L12" s="76">
        <f t="shared" si="2"/>
        <v>3666</v>
      </c>
      <c r="M12" s="76">
        <v>133.56</v>
      </c>
      <c r="N12" s="76">
        <v>133.56</v>
      </c>
      <c r="O12" s="76"/>
      <c r="P12" s="76">
        <v>106.92</v>
      </c>
      <c r="Q12" s="76"/>
      <c r="R12" s="76"/>
      <c r="S12" s="76"/>
      <c r="T12" s="78">
        <f t="shared" si="0"/>
        <v>6810.7600000000011</v>
      </c>
      <c r="U12" s="90">
        <v>907.59</v>
      </c>
      <c r="V12" s="91">
        <v>60.17</v>
      </c>
      <c r="W12" s="91">
        <v>22.26</v>
      </c>
      <c r="X12" s="91"/>
      <c r="Y12" s="91">
        <v>664.51</v>
      </c>
      <c r="Z12" s="91"/>
      <c r="AA12" s="78">
        <f t="shared" si="1"/>
        <v>1654.53</v>
      </c>
      <c r="AB12" s="78">
        <f t="shared" si="3"/>
        <v>5156.2300000000014</v>
      </c>
      <c r="AC12" s="80">
        <v>666</v>
      </c>
      <c r="AD12" s="80">
        <f>20*150</f>
        <v>3000</v>
      </c>
    </row>
    <row r="13" spans="1:31" ht="12.6" customHeight="1" x14ac:dyDescent="0.3">
      <c r="A13" s="87" t="s">
        <v>14</v>
      </c>
      <c r="B13" s="73" t="s">
        <v>3</v>
      </c>
      <c r="C13" s="73" t="s">
        <v>15</v>
      </c>
      <c r="D13" s="73"/>
      <c r="E13" s="88">
        <v>51</v>
      </c>
      <c r="F13" s="94" t="s">
        <v>19</v>
      </c>
      <c r="G13" s="76">
        <f>1956.04</f>
        <v>1956.04</v>
      </c>
      <c r="H13" s="76"/>
      <c r="I13" s="76">
        <f>H13</f>
        <v>0</v>
      </c>
      <c r="J13" s="76">
        <v>191.29</v>
      </c>
      <c r="K13" s="76"/>
      <c r="L13" s="76">
        <f t="shared" si="2"/>
        <v>2530</v>
      </c>
      <c r="M13" s="76">
        <v>86.36</v>
      </c>
      <c r="N13" s="76">
        <v>86.36</v>
      </c>
      <c r="O13" s="76"/>
      <c r="P13" s="76">
        <v>106.92</v>
      </c>
      <c r="Q13" s="76"/>
      <c r="R13" s="76"/>
      <c r="S13" s="76"/>
      <c r="T13" s="78">
        <f t="shared" si="0"/>
        <v>4956.9699999999993</v>
      </c>
      <c r="U13" s="90">
        <v>515.79</v>
      </c>
      <c r="V13" s="91">
        <v>35.729999999999997</v>
      </c>
      <c r="W13" s="91">
        <v>10.06</v>
      </c>
      <c r="X13" s="91">
        <v>0</v>
      </c>
      <c r="Y13" s="91"/>
      <c r="Z13" s="91">
        <v>649.38</v>
      </c>
      <c r="AA13" s="78">
        <f t="shared" si="1"/>
        <v>1210.96</v>
      </c>
      <c r="AB13" s="78">
        <f t="shared" si="3"/>
        <v>3746.0099999999993</v>
      </c>
      <c r="AC13" s="80">
        <v>1530</v>
      </c>
      <c r="AD13" s="80">
        <v>1000</v>
      </c>
    </row>
    <row r="14" spans="1:31" ht="12.6" customHeight="1" x14ac:dyDescent="0.3">
      <c r="A14" s="95" t="s">
        <v>14</v>
      </c>
      <c r="B14" s="73" t="s">
        <v>20</v>
      </c>
      <c r="C14" s="73" t="s">
        <v>17</v>
      </c>
      <c r="D14" s="73"/>
      <c r="E14" s="96">
        <v>112</v>
      </c>
      <c r="F14" s="93" t="s">
        <v>21</v>
      </c>
      <c r="G14" s="97">
        <v>1793.37</v>
      </c>
      <c r="H14" s="76"/>
      <c r="I14" s="76">
        <f>H14</f>
        <v>0</v>
      </c>
      <c r="J14" s="97" t="s">
        <v>276</v>
      </c>
      <c r="K14" s="76"/>
      <c r="L14" s="76">
        <f t="shared" si="2"/>
        <v>1824</v>
      </c>
      <c r="M14" s="97">
        <v>172.44</v>
      </c>
      <c r="N14" s="97">
        <v>172.44</v>
      </c>
      <c r="O14" s="198"/>
      <c r="P14" s="97">
        <v>106.92</v>
      </c>
      <c r="Q14" s="97"/>
      <c r="R14" s="97"/>
      <c r="S14" s="97"/>
      <c r="T14" s="78">
        <f t="shared" si="0"/>
        <v>4069.17</v>
      </c>
      <c r="U14" s="98">
        <v>360.16</v>
      </c>
      <c r="V14" s="99">
        <v>42.82</v>
      </c>
      <c r="W14" s="99"/>
      <c r="X14" s="99"/>
      <c r="Y14" s="99"/>
      <c r="Z14" s="99">
        <v>759.4</v>
      </c>
      <c r="AA14" s="78">
        <f t="shared" si="1"/>
        <v>1162.3800000000001</v>
      </c>
      <c r="AB14" s="78">
        <f t="shared" si="3"/>
        <v>2906.79</v>
      </c>
      <c r="AC14" s="100">
        <v>174</v>
      </c>
      <c r="AD14" s="80">
        <f>11*150</f>
        <v>1650</v>
      </c>
      <c r="AE14" s="101"/>
    </row>
    <row r="15" spans="1:31" ht="12.6" customHeight="1" x14ac:dyDescent="0.3">
      <c r="A15" s="95" t="s">
        <v>14</v>
      </c>
      <c r="B15" s="73" t="s">
        <v>3</v>
      </c>
      <c r="C15" s="73" t="s">
        <v>17</v>
      </c>
      <c r="D15" s="73"/>
      <c r="E15" s="96">
        <v>118</v>
      </c>
      <c r="F15" s="93" t="s">
        <v>22</v>
      </c>
      <c r="G15" s="97">
        <v>1468.53</v>
      </c>
      <c r="H15" s="97"/>
      <c r="I15" s="76"/>
      <c r="J15" s="97">
        <v>90.53</v>
      </c>
      <c r="K15" s="76"/>
      <c r="L15" s="76">
        <f t="shared" si="2"/>
        <v>1450</v>
      </c>
      <c r="M15" s="97">
        <v>121.34</v>
      </c>
      <c r="N15" s="97">
        <v>121.34</v>
      </c>
      <c r="O15" s="97"/>
      <c r="P15" s="97">
        <v>100.6</v>
      </c>
      <c r="Q15" s="97"/>
      <c r="R15" s="97"/>
      <c r="S15" s="97"/>
      <c r="T15" s="78">
        <f t="shared" si="0"/>
        <v>3352.34</v>
      </c>
      <c r="U15" s="98">
        <v>135.55000000000001</v>
      </c>
      <c r="V15" s="99">
        <v>30.13</v>
      </c>
      <c r="W15" s="99">
        <v>12.13</v>
      </c>
      <c r="X15" s="102"/>
      <c r="Y15" s="102"/>
      <c r="Z15" s="99"/>
      <c r="AA15" s="78">
        <f t="shared" si="1"/>
        <v>177.81</v>
      </c>
      <c r="AB15" s="78">
        <f t="shared" si="3"/>
        <v>3174.53</v>
      </c>
      <c r="AC15" s="103">
        <v>700</v>
      </c>
      <c r="AD15" s="80">
        <f>5*150</f>
        <v>750</v>
      </c>
    </row>
    <row r="16" spans="1:31" ht="12.6" customHeight="1" x14ac:dyDescent="0.3">
      <c r="A16" s="87" t="s">
        <v>24</v>
      </c>
      <c r="B16" s="73" t="s">
        <v>20</v>
      </c>
      <c r="C16" s="73" t="s">
        <v>25</v>
      </c>
      <c r="D16" s="73"/>
      <c r="E16" s="88">
        <v>5</v>
      </c>
      <c r="F16" s="92" t="s">
        <v>26</v>
      </c>
      <c r="G16" s="76">
        <v>957.21</v>
      </c>
      <c r="H16" s="76">
        <f>G16/15</f>
        <v>63.814</v>
      </c>
      <c r="I16" s="76">
        <f>H16</f>
        <v>63.814</v>
      </c>
      <c r="J16" s="76">
        <v>82.3</v>
      </c>
      <c r="K16" s="76"/>
      <c r="L16" s="76">
        <f t="shared" si="2"/>
        <v>224.36</v>
      </c>
      <c r="M16" s="76">
        <v>55.22</v>
      </c>
      <c r="N16" s="76">
        <v>55.22</v>
      </c>
      <c r="O16" s="76"/>
      <c r="P16" s="76">
        <v>97.2</v>
      </c>
      <c r="Q16" s="108">
        <v>102.29</v>
      </c>
      <c r="R16" s="76"/>
      <c r="S16" s="76"/>
      <c r="T16" s="78">
        <f t="shared" ref="T16:T28" si="4">SUM(G16:S16)</f>
        <v>1701.4280000000001</v>
      </c>
      <c r="V16" s="91">
        <v>22.84</v>
      </c>
      <c r="W16" s="91"/>
      <c r="X16" s="91"/>
      <c r="Y16" s="91"/>
      <c r="Z16" s="91"/>
      <c r="AA16" s="78">
        <f t="shared" ref="AA16:AA28" si="5">SUM(U16:Z16)</f>
        <v>22.84</v>
      </c>
      <c r="AB16" s="78">
        <f t="shared" si="3"/>
        <v>1678.5880000000002</v>
      </c>
      <c r="AC16" s="80">
        <v>224.36</v>
      </c>
      <c r="AD16" s="80"/>
    </row>
    <row r="17" spans="1:30" ht="12.6" customHeight="1" x14ac:dyDescent="0.3">
      <c r="A17" s="87" t="s">
        <v>24</v>
      </c>
      <c r="B17" s="73" t="s">
        <v>20</v>
      </c>
      <c r="C17" s="73" t="s">
        <v>25</v>
      </c>
      <c r="D17" s="73"/>
      <c r="E17" s="88">
        <v>6</v>
      </c>
      <c r="F17" s="92" t="s">
        <v>27</v>
      </c>
      <c r="G17" s="76">
        <v>2121.44</v>
      </c>
      <c r="H17" s="76"/>
      <c r="I17" s="76">
        <f t="shared" ref="I17:I28" si="6">H17</f>
        <v>0</v>
      </c>
      <c r="J17" s="76">
        <v>188.44</v>
      </c>
      <c r="K17" s="76"/>
      <c r="L17" s="76">
        <f t="shared" si="2"/>
        <v>207.28</v>
      </c>
      <c r="M17" s="76">
        <v>122.39</v>
      </c>
      <c r="N17" s="76">
        <v>122.39</v>
      </c>
      <c r="O17" s="76">
        <f>G17/15*3</f>
        <v>424.28800000000001</v>
      </c>
      <c r="P17" s="76">
        <v>97.2</v>
      </c>
      <c r="Q17" s="76"/>
      <c r="R17" s="76"/>
      <c r="S17" s="76"/>
      <c r="T17" s="78">
        <f t="shared" si="4"/>
        <v>3283.4279999999999</v>
      </c>
      <c r="U17" s="90">
        <v>128.05000000000001</v>
      </c>
      <c r="V17" s="91">
        <v>51.68</v>
      </c>
      <c r="W17" s="91"/>
      <c r="X17" s="91"/>
      <c r="Y17" s="91"/>
      <c r="Z17" s="91">
        <v>586.33000000000004</v>
      </c>
      <c r="AA17" s="78">
        <f t="shared" si="5"/>
        <v>766.06000000000006</v>
      </c>
      <c r="AB17" s="78">
        <f t="shared" si="3"/>
        <v>2517.3679999999999</v>
      </c>
      <c r="AC17" s="80">
        <v>207.28</v>
      </c>
      <c r="AD17" s="80"/>
    </row>
    <row r="18" spans="1:30" ht="12.6" customHeight="1" x14ac:dyDescent="0.25">
      <c r="A18" s="87" t="s">
        <v>24</v>
      </c>
      <c r="B18" s="73" t="s">
        <v>3</v>
      </c>
      <c r="C18" s="73" t="s">
        <v>28</v>
      </c>
      <c r="D18" s="73"/>
      <c r="E18" s="88">
        <v>24</v>
      </c>
      <c r="F18" s="93" t="s">
        <v>29</v>
      </c>
      <c r="G18" s="76">
        <v>4006.16</v>
      </c>
      <c r="H18" s="76">
        <f>G18/15*1.5</f>
        <v>400.61599999999999</v>
      </c>
      <c r="I18" s="76">
        <f t="shared" si="6"/>
        <v>400.61599999999999</v>
      </c>
      <c r="J18" s="76" t="s">
        <v>274</v>
      </c>
      <c r="K18" s="76"/>
      <c r="L18" s="76">
        <f t="shared" si="2"/>
        <v>1495</v>
      </c>
      <c r="M18" s="76" t="s">
        <v>274</v>
      </c>
      <c r="N18" s="76" t="s">
        <v>274</v>
      </c>
      <c r="O18" s="76"/>
      <c r="P18" s="76" t="s">
        <v>274</v>
      </c>
      <c r="Q18" s="76"/>
      <c r="R18" s="104">
        <f>G18/15*5</f>
        <v>1335.3866666666668</v>
      </c>
      <c r="S18" s="198"/>
      <c r="T18" s="78">
        <f t="shared" si="4"/>
        <v>7637.778666666667</v>
      </c>
      <c r="U18" s="90">
        <v>1084.24</v>
      </c>
      <c r="V18" s="91">
        <v>111.49</v>
      </c>
      <c r="W18" s="91">
        <v>40.369999999999997</v>
      </c>
      <c r="X18" s="91"/>
      <c r="Y18" s="91"/>
      <c r="Z18" s="91"/>
      <c r="AA18" s="78">
        <f t="shared" si="5"/>
        <v>1236.0999999999999</v>
      </c>
      <c r="AB18" s="78">
        <f t="shared" si="3"/>
        <v>6401.6786666666667</v>
      </c>
      <c r="AC18" s="80">
        <v>1095</v>
      </c>
      <c r="AD18" s="80">
        <v>400</v>
      </c>
    </row>
    <row r="19" spans="1:30" ht="12.6" customHeight="1" x14ac:dyDescent="0.3">
      <c r="A19" s="87" t="s">
        <v>24</v>
      </c>
      <c r="B19" s="73" t="s">
        <v>3</v>
      </c>
      <c r="C19" s="73" t="s">
        <v>30</v>
      </c>
      <c r="D19" s="73"/>
      <c r="E19" s="88">
        <v>25</v>
      </c>
      <c r="F19" s="93" t="s">
        <v>31</v>
      </c>
      <c r="G19" s="76">
        <v>2712.3399999999997</v>
      </c>
      <c r="H19" s="76"/>
      <c r="I19" s="76">
        <f t="shared" si="6"/>
        <v>0</v>
      </c>
      <c r="J19" s="76">
        <v>182.34</v>
      </c>
      <c r="K19" s="76"/>
      <c r="L19" s="76">
        <f t="shared" si="2"/>
        <v>150</v>
      </c>
      <c r="M19" s="76">
        <v>139.51</v>
      </c>
      <c r="N19" s="76">
        <v>139.51</v>
      </c>
      <c r="O19" s="76">
        <f>G19/15*2</f>
        <v>361.64533333333327</v>
      </c>
      <c r="P19" s="76">
        <v>106.92</v>
      </c>
      <c r="Q19" s="76"/>
      <c r="R19" s="76">
        <f>G19/15*5</f>
        <v>904.11333333333323</v>
      </c>
      <c r="S19" s="76"/>
      <c r="T19" s="78">
        <f t="shared" si="4"/>
        <v>4696.3786666666665</v>
      </c>
      <c r="U19" s="90">
        <v>469.1</v>
      </c>
      <c r="V19" s="91">
        <v>64.709999999999994</v>
      </c>
      <c r="W19" s="91">
        <v>23.25</v>
      </c>
      <c r="X19" s="91"/>
      <c r="Y19" s="91"/>
      <c r="Z19" s="91"/>
      <c r="AA19" s="78">
        <f t="shared" si="5"/>
        <v>557.06000000000006</v>
      </c>
      <c r="AB19" s="78">
        <f t="shared" si="3"/>
        <v>4139.3186666666661</v>
      </c>
      <c r="AC19" s="80">
        <f>150</f>
        <v>150</v>
      </c>
      <c r="AD19" s="80"/>
    </row>
    <row r="20" spans="1:30" ht="12.6" customHeight="1" x14ac:dyDescent="0.3">
      <c r="A20" s="87" t="s">
        <v>24</v>
      </c>
      <c r="B20" s="73" t="s">
        <v>3</v>
      </c>
      <c r="C20" s="73" t="s">
        <v>30</v>
      </c>
      <c r="D20" s="73"/>
      <c r="E20" s="88">
        <v>27</v>
      </c>
      <c r="F20" s="92" t="s">
        <v>32</v>
      </c>
      <c r="G20" s="76">
        <v>1734.79</v>
      </c>
      <c r="H20" s="76">
        <f>G20/15</f>
        <v>115.65266666666666</v>
      </c>
      <c r="I20" s="76">
        <f t="shared" si="6"/>
        <v>115.65266666666666</v>
      </c>
      <c r="J20" s="76">
        <v>99.51</v>
      </c>
      <c r="K20" s="76"/>
      <c r="L20" s="76">
        <f t="shared" si="2"/>
        <v>1130.6100000000001</v>
      </c>
      <c r="M20" s="76">
        <v>85.38</v>
      </c>
      <c r="N20" s="76">
        <v>85.38</v>
      </c>
      <c r="O20" s="76">
        <f>G20/15*3</f>
        <v>346.95799999999997</v>
      </c>
      <c r="P20" s="76">
        <v>106.92</v>
      </c>
      <c r="Q20" s="76"/>
      <c r="R20" s="76">
        <f>G20/15*10</f>
        <v>1156.5266666666666</v>
      </c>
      <c r="S20" s="76">
        <f>Q20*0.28</f>
        <v>0</v>
      </c>
      <c r="T20" s="78">
        <f t="shared" si="4"/>
        <v>4977.380000000001</v>
      </c>
      <c r="U20" s="90">
        <v>519.45000000000005</v>
      </c>
      <c r="V20" s="91">
        <v>35.33</v>
      </c>
      <c r="W20" s="91">
        <v>14.23</v>
      </c>
      <c r="X20" s="91"/>
      <c r="Y20" s="91"/>
      <c r="Z20" s="91">
        <v>337.86</v>
      </c>
      <c r="AA20" s="78">
        <f t="shared" si="5"/>
        <v>906.87000000000012</v>
      </c>
      <c r="AB20" s="78">
        <f t="shared" si="3"/>
        <v>4070.5100000000011</v>
      </c>
      <c r="AC20" s="80">
        <v>930.61</v>
      </c>
      <c r="AD20" s="80">
        <v>200</v>
      </c>
    </row>
    <row r="21" spans="1:30" ht="12.6" customHeight="1" x14ac:dyDescent="0.3">
      <c r="A21" s="87" t="s">
        <v>24</v>
      </c>
      <c r="B21" s="73" t="s">
        <v>20</v>
      </c>
      <c r="C21" s="73" t="s">
        <v>33</v>
      </c>
      <c r="D21" s="73"/>
      <c r="E21" s="88">
        <v>32</v>
      </c>
      <c r="F21" s="92" t="s">
        <v>34</v>
      </c>
      <c r="G21" s="76">
        <v>2990.83</v>
      </c>
      <c r="H21" s="76"/>
      <c r="I21" s="76">
        <f t="shared" si="6"/>
        <v>0</v>
      </c>
      <c r="J21" s="76">
        <v>261.72000000000003</v>
      </c>
      <c r="K21" s="76"/>
      <c r="L21" s="76">
        <f t="shared" si="2"/>
        <v>864.83</v>
      </c>
      <c r="M21" s="76">
        <v>299.08</v>
      </c>
      <c r="N21" s="76">
        <v>299.08</v>
      </c>
      <c r="O21" s="76">
        <f>G21/15</f>
        <v>199.38866666666667</v>
      </c>
      <c r="P21" s="76">
        <v>194.4</v>
      </c>
      <c r="Q21" s="76"/>
      <c r="R21" s="76"/>
      <c r="S21" s="76"/>
      <c r="T21" s="78">
        <f t="shared" si="4"/>
        <v>5109.3286666666663</v>
      </c>
      <c r="U21" s="90">
        <v>544.16</v>
      </c>
      <c r="V21" s="91">
        <v>89.89</v>
      </c>
      <c r="W21" s="91"/>
      <c r="X21" s="91"/>
      <c r="Y21" s="91"/>
      <c r="Z21" s="91"/>
      <c r="AA21" s="78">
        <f t="shared" si="5"/>
        <v>634.04999999999995</v>
      </c>
      <c r="AB21" s="78">
        <f t="shared" si="3"/>
        <v>4475.2786666666661</v>
      </c>
      <c r="AC21" s="80">
        <v>864.83</v>
      </c>
      <c r="AD21" s="80"/>
    </row>
    <row r="22" spans="1:30" ht="12.6" customHeight="1" x14ac:dyDescent="0.3">
      <c r="A22" s="87" t="s">
        <v>24</v>
      </c>
      <c r="B22" s="73" t="s">
        <v>3</v>
      </c>
      <c r="C22" s="73" t="s">
        <v>30</v>
      </c>
      <c r="D22" s="73"/>
      <c r="E22" s="88">
        <v>57</v>
      </c>
      <c r="F22" s="92" t="s">
        <v>35</v>
      </c>
      <c r="G22" s="76">
        <v>1739.5</v>
      </c>
      <c r="H22" s="76">
        <f>G22/15*1.5</f>
        <v>173.95</v>
      </c>
      <c r="I22" s="76">
        <f t="shared" si="6"/>
        <v>173.95</v>
      </c>
      <c r="J22" s="76">
        <f>200</f>
        <v>200</v>
      </c>
      <c r="K22" s="76"/>
      <c r="L22" s="76">
        <f t="shared" si="2"/>
        <v>0</v>
      </c>
      <c r="M22" s="76">
        <v>78.25</v>
      </c>
      <c r="N22" s="76">
        <v>78.25</v>
      </c>
      <c r="O22" s="76"/>
      <c r="P22" s="76">
        <v>106.92</v>
      </c>
      <c r="Q22" s="76"/>
      <c r="R22" s="76"/>
      <c r="S22" s="76">
        <f>G22/15*10*0.25</f>
        <v>289.91666666666669</v>
      </c>
      <c r="T22" s="78">
        <f t="shared" si="4"/>
        <v>2840.7366666666667</v>
      </c>
      <c r="U22" s="90">
        <v>59.64</v>
      </c>
      <c r="V22" s="91">
        <v>32.369999999999997</v>
      </c>
      <c r="W22" s="91">
        <v>13.04</v>
      </c>
      <c r="X22" s="91"/>
      <c r="Y22" s="91"/>
      <c r="Z22" s="91">
        <v>402.61</v>
      </c>
      <c r="AA22" s="78">
        <f t="shared" si="5"/>
        <v>507.65999999999997</v>
      </c>
      <c r="AB22" s="78">
        <f t="shared" si="3"/>
        <v>2333.0766666666668</v>
      </c>
      <c r="AC22" s="100"/>
      <c r="AD22" s="100"/>
    </row>
    <row r="23" spans="1:30" ht="12.6" customHeight="1" x14ac:dyDescent="0.3">
      <c r="A23" s="87" t="s">
        <v>24</v>
      </c>
      <c r="B23" s="73" t="s">
        <v>3</v>
      </c>
      <c r="C23" s="73" t="s">
        <v>30</v>
      </c>
      <c r="D23" s="73"/>
      <c r="E23" s="88">
        <v>64</v>
      </c>
      <c r="F23" s="92" t="s">
        <v>36</v>
      </c>
      <c r="G23" s="76">
        <f>3385.17</f>
        <v>3385.17</v>
      </c>
      <c r="H23" s="76">
        <f>G23/15*1.5</f>
        <v>338.517</v>
      </c>
      <c r="I23" s="76">
        <f t="shared" si="6"/>
        <v>338.517</v>
      </c>
      <c r="J23" s="76">
        <v>90.53</v>
      </c>
      <c r="K23" s="76"/>
      <c r="L23" s="76">
        <f t="shared" si="2"/>
        <v>88.85</v>
      </c>
      <c r="M23" s="76">
        <v>175.86</v>
      </c>
      <c r="N23" s="76">
        <v>175.86</v>
      </c>
      <c r="O23" s="76"/>
      <c r="P23" s="76">
        <v>99</v>
      </c>
      <c r="Q23" s="76"/>
      <c r="R23" s="76"/>
      <c r="S23" s="76"/>
      <c r="T23" s="78">
        <f t="shared" si="4"/>
        <v>4692.3039999999992</v>
      </c>
      <c r="U23" s="90">
        <v>468.37</v>
      </c>
      <c r="V23" s="91">
        <v>92.41</v>
      </c>
      <c r="W23" s="91">
        <v>29.31</v>
      </c>
      <c r="X23" s="91">
        <v>500</v>
      </c>
      <c r="Y23" s="91"/>
      <c r="Z23" s="91">
        <v>649.38</v>
      </c>
      <c r="AA23" s="78">
        <f t="shared" si="5"/>
        <v>1739.4699999999998</v>
      </c>
      <c r="AB23" s="78">
        <f t="shared" si="3"/>
        <v>2952.8339999999994</v>
      </c>
      <c r="AC23" s="80">
        <f>88.85</f>
        <v>88.85</v>
      </c>
      <c r="AD23" s="80"/>
    </row>
    <row r="24" spans="1:30" ht="12.6" customHeight="1" x14ac:dyDescent="0.3">
      <c r="A24" s="87" t="s">
        <v>24</v>
      </c>
      <c r="B24" s="73" t="s">
        <v>20</v>
      </c>
      <c r="C24" s="73" t="s">
        <v>25</v>
      </c>
      <c r="D24" s="73"/>
      <c r="E24" s="88">
        <v>69</v>
      </c>
      <c r="F24" s="92" t="s">
        <v>37</v>
      </c>
      <c r="G24" s="76">
        <v>2126.12</v>
      </c>
      <c r="H24" s="76">
        <f>G24/15</f>
        <v>141.74133333333333</v>
      </c>
      <c r="I24" s="76">
        <f t="shared" si="6"/>
        <v>141.74133333333333</v>
      </c>
      <c r="J24" s="76">
        <v>188.44</v>
      </c>
      <c r="K24" s="76"/>
      <c r="L24" s="76">
        <f t="shared" si="2"/>
        <v>207.28</v>
      </c>
      <c r="M24" s="76">
        <v>122.66</v>
      </c>
      <c r="N24" s="76">
        <v>122.66</v>
      </c>
      <c r="O24" s="76"/>
      <c r="P24" s="76">
        <v>97.2</v>
      </c>
      <c r="Q24" s="76"/>
      <c r="R24" s="76"/>
      <c r="S24" s="76">
        <f>Q24*0.25</f>
        <v>0</v>
      </c>
      <c r="T24" s="78">
        <f t="shared" si="4"/>
        <v>3147.8426666666664</v>
      </c>
      <c r="U24" s="90">
        <v>113.3</v>
      </c>
      <c r="V24" s="91">
        <v>51.86</v>
      </c>
      <c r="W24" s="91"/>
      <c r="X24" s="91"/>
      <c r="Y24" s="91"/>
      <c r="Z24" s="91"/>
      <c r="AA24" s="78">
        <f t="shared" si="5"/>
        <v>165.16</v>
      </c>
      <c r="AB24" s="78">
        <f t="shared" si="3"/>
        <v>2982.6826666666666</v>
      </c>
      <c r="AC24" s="100">
        <v>207.28</v>
      </c>
      <c r="AD24" s="100"/>
    </row>
    <row r="25" spans="1:30" ht="12.6" customHeight="1" x14ac:dyDescent="0.3">
      <c r="A25" s="87" t="s">
        <v>24</v>
      </c>
      <c r="B25" s="73" t="s">
        <v>3</v>
      </c>
      <c r="C25" s="73" t="s">
        <v>15</v>
      </c>
      <c r="D25" s="73"/>
      <c r="E25" s="88">
        <v>81</v>
      </c>
      <c r="F25" s="92" t="s">
        <v>38</v>
      </c>
      <c r="G25" s="76">
        <v>2549.1999999999998</v>
      </c>
      <c r="H25" s="76"/>
      <c r="I25" s="76">
        <f t="shared" si="6"/>
        <v>0</v>
      </c>
      <c r="J25" s="76">
        <v>166.21</v>
      </c>
      <c r="K25" s="76"/>
      <c r="L25" s="76">
        <f t="shared" si="2"/>
        <v>222.31</v>
      </c>
      <c r="M25" s="76">
        <v>206.9</v>
      </c>
      <c r="N25" s="76">
        <v>206.9</v>
      </c>
      <c r="O25" s="76">
        <f>G25/15*3</f>
        <v>509.84</v>
      </c>
      <c r="P25" s="76">
        <v>194.4</v>
      </c>
      <c r="Q25" s="76"/>
      <c r="R25" s="76"/>
      <c r="S25" s="76"/>
      <c r="T25" s="78">
        <f t="shared" si="4"/>
        <v>4055.76</v>
      </c>
      <c r="U25" s="90">
        <v>358.01</v>
      </c>
      <c r="V25" s="91">
        <v>53</v>
      </c>
      <c r="W25" s="91">
        <v>20.69</v>
      </c>
      <c r="X25" s="91"/>
      <c r="Y25" s="91">
        <v>722.47</v>
      </c>
      <c r="Z25" s="91"/>
      <c r="AA25" s="78">
        <f t="shared" si="5"/>
        <v>1154.17</v>
      </c>
      <c r="AB25" s="78">
        <f t="shared" si="3"/>
        <v>2901.59</v>
      </c>
      <c r="AC25" s="80">
        <f>222.31</f>
        <v>222.31</v>
      </c>
      <c r="AD25" s="80"/>
    </row>
    <row r="26" spans="1:30" ht="12.6" customHeight="1" x14ac:dyDescent="0.3">
      <c r="A26" s="87" t="s">
        <v>24</v>
      </c>
      <c r="B26" s="73" t="s">
        <v>20</v>
      </c>
      <c r="C26" s="73" t="s">
        <v>39</v>
      </c>
      <c r="D26" s="73"/>
      <c r="E26" s="88">
        <v>106</v>
      </c>
      <c r="F26" s="92" t="s">
        <v>40</v>
      </c>
      <c r="G26" s="76">
        <v>5719.9</v>
      </c>
      <c r="H26" s="76">
        <f>G26/15*1.25</f>
        <v>476.6583333333333</v>
      </c>
      <c r="I26" s="76">
        <f t="shared" si="6"/>
        <v>476.6583333333333</v>
      </c>
      <c r="J26" s="76" t="s">
        <v>274</v>
      </c>
      <c r="K26" s="76"/>
      <c r="L26" s="76">
        <f t="shared" si="2"/>
        <v>4100</v>
      </c>
      <c r="M26" s="76" t="s">
        <v>274</v>
      </c>
      <c r="N26" s="76" t="s">
        <v>274</v>
      </c>
      <c r="O26" s="76">
        <f>G26/15*3</f>
        <v>1143.98</v>
      </c>
      <c r="P26" s="76">
        <v>198.01</v>
      </c>
      <c r="Q26" s="76"/>
      <c r="R26" s="76"/>
      <c r="S26" s="76"/>
      <c r="T26" s="78">
        <f t="shared" si="4"/>
        <v>12115.206666666665</v>
      </c>
      <c r="U26" s="90">
        <v>2080.81</v>
      </c>
      <c r="V26" s="91">
        <v>198.99</v>
      </c>
      <c r="W26" s="91"/>
      <c r="X26" s="91"/>
      <c r="Y26" s="91">
        <v>1240.3399999999999</v>
      </c>
      <c r="Z26" s="91"/>
      <c r="AA26" s="78">
        <f t="shared" si="5"/>
        <v>3520.1400000000003</v>
      </c>
      <c r="AB26" s="78">
        <f t="shared" si="3"/>
        <v>8595.0666666666657</v>
      </c>
      <c r="AC26" s="80">
        <v>4100</v>
      </c>
      <c r="AD26" s="80"/>
    </row>
    <row r="27" spans="1:30" ht="12.6" customHeight="1" x14ac:dyDescent="0.3">
      <c r="A27" s="87" t="s">
        <v>24</v>
      </c>
      <c r="B27" s="73" t="s">
        <v>3</v>
      </c>
      <c r="C27" s="73" t="s">
        <v>30</v>
      </c>
      <c r="D27" s="73"/>
      <c r="E27" s="88">
        <v>108</v>
      </c>
      <c r="F27" s="92" t="s">
        <v>41</v>
      </c>
      <c r="G27" s="76">
        <v>1917.3400000000001</v>
      </c>
      <c r="H27" s="76"/>
      <c r="I27" s="76">
        <f t="shared" si="6"/>
        <v>0</v>
      </c>
      <c r="J27" s="76">
        <v>99.51</v>
      </c>
      <c r="K27" s="76"/>
      <c r="L27" s="76">
        <f t="shared" si="2"/>
        <v>970</v>
      </c>
      <c r="M27" s="76">
        <v>158.34</v>
      </c>
      <c r="N27" s="76">
        <v>158.34</v>
      </c>
      <c r="O27" s="76">
        <f>G27/15*3</f>
        <v>383.46800000000002</v>
      </c>
      <c r="P27" s="76">
        <v>106.92</v>
      </c>
      <c r="Q27" s="76"/>
      <c r="R27" s="76"/>
      <c r="S27" s="76"/>
      <c r="T27" s="78">
        <f t="shared" si="4"/>
        <v>3793.9180000000006</v>
      </c>
      <c r="U27" s="90">
        <v>316.12</v>
      </c>
      <c r="V27" s="91">
        <v>39.31</v>
      </c>
      <c r="W27" s="91">
        <v>15.83</v>
      </c>
      <c r="X27" s="91"/>
      <c r="Y27" s="91"/>
      <c r="Z27" s="91"/>
      <c r="AA27" s="78">
        <f t="shared" si="5"/>
        <v>371.26</v>
      </c>
      <c r="AB27" s="78">
        <f t="shared" si="3"/>
        <v>3422.6580000000004</v>
      </c>
      <c r="AC27" s="80">
        <v>970</v>
      </c>
      <c r="AD27" s="80"/>
    </row>
    <row r="28" spans="1:30" ht="12.6" customHeight="1" x14ac:dyDescent="0.3">
      <c r="A28" s="87" t="s">
        <v>24</v>
      </c>
      <c r="B28" s="73" t="s">
        <v>3</v>
      </c>
      <c r="C28" s="73" t="s">
        <v>42</v>
      </c>
      <c r="D28" s="73"/>
      <c r="E28" s="88">
        <v>129</v>
      </c>
      <c r="F28" s="92" t="s">
        <v>43</v>
      </c>
      <c r="G28" s="76">
        <v>5885.07</v>
      </c>
      <c r="H28" s="76">
        <f>G28/15</f>
        <v>392.33799999999997</v>
      </c>
      <c r="I28" s="76">
        <f t="shared" si="6"/>
        <v>392.33799999999997</v>
      </c>
      <c r="J28" s="76">
        <v>0</v>
      </c>
      <c r="K28" s="76"/>
      <c r="L28" s="76">
        <f t="shared" si="2"/>
        <v>500</v>
      </c>
      <c r="M28" s="76">
        <v>399.39</v>
      </c>
      <c r="N28" s="76">
        <v>399.39</v>
      </c>
      <c r="O28" s="76">
        <f>G28/15*2</f>
        <v>784.67599999999993</v>
      </c>
      <c r="P28" s="76">
        <v>100</v>
      </c>
      <c r="Q28" s="76"/>
      <c r="R28" s="76"/>
      <c r="S28" s="76"/>
      <c r="T28" s="78">
        <f t="shared" si="4"/>
        <v>8853.2019999999993</v>
      </c>
      <c r="U28" s="90">
        <v>1343.85</v>
      </c>
      <c r="V28" s="91">
        <v>141.01</v>
      </c>
      <c r="W28" s="91">
        <v>40</v>
      </c>
      <c r="X28" s="91"/>
      <c r="Y28" s="91"/>
      <c r="Z28" s="91"/>
      <c r="AA28" s="78">
        <f t="shared" si="5"/>
        <v>1524.86</v>
      </c>
      <c r="AB28" s="78">
        <f t="shared" si="3"/>
        <v>7328.3419999999996</v>
      </c>
      <c r="AC28" s="80">
        <v>500</v>
      </c>
      <c r="AD28" s="80"/>
    </row>
    <row r="29" spans="1:30" ht="10.5" customHeight="1" x14ac:dyDescent="0.3">
      <c r="A29" s="95" t="s">
        <v>44</v>
      </c>
      <c r="B29" s="73" t="s">
        <v>3</v>
      </c>
      <c r="C29" s="73" t="s">
        <v>45</v>
      </c>
      <c r="D29" s="73"/>
      <c r="E29" s="88">
        <v>42</v>
      </c>
      <c r="F29" s="93" t="s">
        <v>46</v>
      </c>
      <c r="G29" s="97">
        <v>1444.32</v>
      </c>
      <c r="H29" s="76"/>
      <c r="I29" s="76"/>
      <c r="J29" s="76">
        <v>82.3</v>
      </c>
      <c r="K29" s="76"/>
      <c r="L29" s="76">
        <v>541.12</v>
      </c>
      <c r="M29" s="76">
        <v>72.52</v>
      </c>
      <c r="N29" s="76">
        <v>72.52</v>
      </c>
      <c r="O29" s="107"/>
      <c r="P29" s="76">
        <v>106.92</v>
      </c>
      <c r="Q29" s="76">
        <v>10.87</v>
      </c>
      <c r="R29" s="91"/>
      <c r="S29" s="91"/>
      <c r="T29" s="78">
        <f t="shared" ref="T29:T35" si="7">SUM(G29:S29)</f>
        <v>2330.5699999999997</v>
      </c>
      <c r="U29" s="90"/>
      <c r="V29" s="91">
        <v>30.01</v>
      </c>
      <c r="W29" s="86">
        <v>12.08</v>
      </c>
      <c r="X29" s="91"/>
      <c r="Y29" s="91">
        <v>315.89999999999998</v>
      </c>
      <c r="Z29" s="78">
        <v>586.33000000000004</v>
      </c>
      <c r="AA29" s="78">
        <f>SUM(U29:Z29)</f>
        <v>944.32</v>
      </c>
      <c r="AB29" s="78">
        <f>T29-AA29</f>
        <v>1386.2499999999995</v>
      </c>
      <c r="AC29" s="80">
        <v>541.12</v>
      </c>
      <c r="AD29" s="80"/>
    </row>
    <row r="30" spans="1:30" ht="10.5" customHeight="1" x14ac:dyDescent="0.3">
      <c r="A30" s="95" t="s">
        <v>44</v>
      </c>
      <c r="B30" s="73" t="s">
        <v>3</v>
      </c>
      <c r="C30" s="73" t="s">
        <v>25</v>
      </c>
      <c r="D30" s="73"/>
      <c r="E30" s="88">
        <v>54</v>
      </c>
      <c r="F30" s="93" t="s">
        <v>47</v>
      </c>
      <c r="G30" s="97">
        <v>1453.03</v>
      </c>
      <c r="H30" s="76"/>
      <c r="I30" s="76"/>
      <c r="J30" s="76">
        <v>90.53</v>
      </c>
      <c r="K30" s="76"/>
      <c r="L30" s="76">
        <v>216</v>
      </c>
      <c r="M30" s="76">
        <v>74.09</v>
      </c>
      <c r="N30" s="76">
        <v>74.09</v>
      </c>
      <c r="O30" s="108">
        <f>G30/15*2</f>
        <v>193.73733333333334</v>
      </c>
      <c r="P30" s="76">
        <v>106.92</v>
      </c>
      <c r="Q30" s="76">
        <v>34.78</v>
      </c>
      <c r="R30" s="91"/>
      <c r="S30" s="91"/>
      <c r="T30" s="78">
        <f t="shared" si="7"/>
        <v>2243.1773333333335</v>
      </c>
      <c r="U30" s="90"/>
      <c r="V30" s="91">
        <v>30.66</v>
      </c>
      <c r="W30" s="91">
        <v>12.35</v>
      </c>
      <c r="X30" s="91"/>
      <c r="Y30" s="91"/>
      <c r="Z30" s="78"/>
      <c r="AA30" s="78">
        <f t="shared" ref="AA30:AA35" si="8">SUM(U30:Z30)</f>
        <v>43.01</v>
      </c>
      <c r="AB30" s="78">
        <f t="shared" ref="AB30:AB35" si="9">T30-AA30</f>
        <v>2200.1673333333333</v>
      </c>
      <c r="AC30" s="80">
        <v>216</v>
      </c>
      <c r="AD30" s="80"/>
    </row>
    <row r="31" spans="1:30" ht="10.5" customHeight="1" x14ac:dyDescent="0.3">
      <c r="A31" s="95" t="s">
        <v>44</v>
      </c>
      <c r="B31" s="73" t="s">
        <v>3</v>
      </c>
      <c r="C31" s="73" t="s">
        <v>30</v>
      </c>
      <c r="D31" s="73"/>
      <c r="E31" s="88">
        <v>59</v>
      </c>
      <c r="F31" s="93" t="s">
        <v>48</v>
      </c>
      <c r="G31" s="97">
        <v>1531.02</v>
      </c>
      <c r="H31" s="76"/>
      <c r="I31" s="76"/>
      <c r="J31" s="76">
        <v>105.16</v>
      </c>
      <c r="K31" s="76"/>
      <c r="L31" s="76">
        <v>87.29</v>
      </c>
      <c r="M31" s="76">
        <v>78.56</v>
      </c>
      <c r="N31" s="76">
        <v>78.56</v>
      </c>
      <c r="O31" s="107"/>
      <c r="P31" s="76">
        <v>106.92</v>
      </c>
      <c r="Q31" s="76">
        <v>68.150000000000006</v>
      </c>
      <c r="R31" s="91"/>
      <c r="S31" s="91"/>
      <c r="T31" s="78">
        <f t="shared" si="7"/>
        <v>2055.66</v>
      </c>
      <c r="U31" s="90"/>
      <c r="V31" s="91">
        <v>32.5</v>
      </c>
      <c r="W31" s="109">
        <v>13.09</v>
      </c>
      <c r="X31" s="91"/>
      <c r="Y31" s="91"/>
      <c r="Z31" s="78">
        <v>242.48</v>
      </c>
      <c r="AA31" s="78">
        <f t="shared" si="8"/>
        <v>288.07</v>
      </c>
      <c r="AB31" s="78">
        <f t="shared" si="9"/>
        <v>1767.59</v>
      </c>
      <c r="AC31" s="80">
        <v>87.29</v>
      </c>
      <c r="AD31" s="80"/>
    </row>
    <row r="32" spans="1:30" ht="10.5" customHeight="1" x14ac:dyDescent="0.3">
      <c r="A32" s="110" t="s">
        <v>44</v>
      </c>
      <c r="B32" s="73" t="s">
        <v>20</v>
      </c>
      <c r="C32" s="73" t="s">
        <v>30</v>
      </c>
      <c r="D32" s="73"/>
      <c r="E32" s="111">
        <v>61</v>
      </c>
      <c r="F32" s="112" t="s">
        <v>49</v>
      </c>
      <c r="G32" s="113">
        <v>992.21</v>
      </c>
      <c r="H32" s="108"/>
      <c r="I32" s="108"/>
      <c r="J32" s="108">
        <v>82.3</v>
      </c>
      <c r="K32" s="76"/>
      <c r="L32" s="76">
        <v>259.3</v>
      </c>
      <c r="M32" s="108">
        <v>55.64</v>
      </c>
      <c r="N32" s="108">
        <v>55.64</v>
      </c>
      <c r="O32" s="107"/>
      <c r="P32" s="108">
        <v>97.2</v>
      </c>
      <c r="Q32" s="108">
        <v>106.21</v>
      </c>
      <c r="R32" s="90"/>
      <c r="S32" s="90"/>
      <c r="T32" s="78">
        <f t="shared" si="7"/>
        <v>1648.5000000000002</v>
      </c>
      <c r="U32" s="90"/>
      <c r="V32" s="90">
        <v>23.01</v>
      </c>
      <c r="W32" s="109"/>
      <c r="X32" s="90"/>
      <c r="Y32" s="90"/>
      <c r="Z32" s="78"/>
      <c r="AA32" s="78">
        <f t="shared" si="8"/>
        <v>23.01</v>
      </c>
      <c r="AB32" s="78">
        <f t="shared" si="9"/>
        <v>1625.4900000000002</v>
      </c>
      <c r="AC32" s="114">
        <v>259.3</v>
      </c>
      <c r="AD32" s="114"/>
    </row>
    <row r="33" spans="1:30" ht="10.5" customHeight="1" x14ac:dyDescent="0.3">
      <c r="A33" s="95" t="s">
        <v>44</v>
      </c>
      <c r="B33" s="73" t="s">
        <v>3</v>
      </c>
      <c r="C33" s="73" t="s">
        <v>50</v>
      </c>
      <c r="D33" s="73"/>
      <c r="E33" s="88">
        <v>124</v>
      </c>
      <c r="F33" s="93" t="s">
        <v>51</v>
      </c>
      <c r="G33" s="97">
        <v>2801.83</v>
      </c>
      <c r="H33" s="76"/>
      <c r="I33" s="76"/>
      <c r="J33" s="76">
        <v>124</v>
      </c>
      <c r="K33" s="76"/>
      <c r="L33" s="76">
        <v>305</v>
      </c>
      <c r="M33" s="76">
        <v>239.18</v>
      </c>
      <c r="N33" s="76">
        <v>239.18</v>
      </c>
      <c r="O33" s="108">
        <f>G33/15*2</f>
        <v>373.57733333333334</v>
      </c>
      <c r="P33" s="76"/>
      <c r="Q33" s="76"/>
      <c r="R33" s="91"/>
      <c r="S33" s="91"/>
      <c r="T33" s="78">
        <f t="shared" si="7"/>
        <v>4082.7673333333328</v>
      </c>
      <c r="U33" s="90">
        <v>362.33</v>
      </c>
      <c r="V33" s="91">
        <v>67.739999999999995</v>
      </c>
      <c r="W33" s="109">
        <v>40</v>
      </c>
      <c r="X33" s="91">
        <v>500</v>
      </c>
      <c r="Y33" s="91"/>
      <c r="Z33" s="78">
        <v>674.38</v>
      </c>
      <c r="AA33" s="78">
        <f t="shared" si="8"/>
        <v>1644.4499999999998</v>
      </c>
      <c r="AB33" s="78">
        <f t="shared" si="9"/>
        <v>2438.317333333333</v>
      </c>
      <c r="AC33" s="80">
        <v>305</v>
      </c>
      <c r="AD33" s="80"/>
    </row>
    <row r="34" spans="1:30" ht="10.5" customHeight="1" x14ac:dyDescent="0.3">
      <c r="A34" s="95" t="s">
        <v>44</v>
      </c>
      <c r="B34" s="73" t="s">
        <v>20</v>
      </c>
      <c r="C34" s="73" t="s">
        <v>52</v>
      </c>
      <c r="D34" s="73"/>
      <c r="E34" s="88">
        <v>126</v>
      </c>
      <c r="F34" s="93" t="s">
        <v>53</v>
      </c>
      <c r="G34" s="97">
        <v>2887.42</v>
      </c>
      <c r="H34" s="76"/>
      <c r="I34" s="76"/>
      <c r="J34" s="76">
        <v>124</v>
      </c>
      <c r="K34" s="76"/>
      <c r="L34" s="76">
        <v>305</v>
      </c>
      <c r="M34" s="76">
        <v>239.18</v>
      </c>
      <c r="N34" s="76">
        <v>239.18</v>
      </c>
      <c r="O34" s="108">
        <f>G34/15*2</f>
        <v>384.98933333333332</v>
      </c>
      <c r="P34" s="76"/>
      <c r="Q34" s="76"/>
      <c r="R34" s="91"/>
      <c r="S34" s="91"/>
      <c r="T34" s="78">
        <f t="shared" si="7"/>
        <v>4179.7693333333327</v>
      </c>
      <c r="U34" s="90">
        <v>377.85</v>
      </c>
      <c r="V34" s="91">
        <v>67.739999999999995</v>
      </c>
      <c r="W34" s="109"/>
      <c r="X34" s="91"/>
      <c r="Y34" s="91"/>
      <c r="Z34" s="78"/>
      <c r="AA34" s="78">
        <f t="shared" si="8"/>
        <v>445.59000000000003</v>
      </c>
      <c r="AB34" s="78">
        <f t="shared" si="9"/>
        <v>3734.1793333333326</v>
      </c>
      <c r="AC34" s="80">
        <v>305</v>
      </c>
      <c r="AD34" s="80"/>
    </row>
    <row r="35" spans="1:30" ht="10.5" customHeight="1" x14ac:dyDescent="0.3">
      <c r="A35" s="95" t="s">
        <v>44</v>
      </c>
      <c r="B35" s="73" t="s">
        <v>20</v>
      </c>
      <c r="C35" s="73" t="s">
        <v>52</v>
      </c>
      <c r="D35" s="73"/>
      <c r="E35" s="111">
        <v>116</v>
      </c>
      <c r="F35" s="115" t="s">
        <v>54</v>
      </c>
      <c r="G35" s="108">
        <v>2218.63</v>
      </c>
      <c r="H35" s="108"/>
      <c r="I35" s="108">
        <v>0</v>
      </c>
      <c r="J35" s="108"/>
      <c r="K35" s="76"/>
      <c r="L35" s="76">
        <v>305</v>
      </c>
      <c r="M35" s="108">
        <v>213.33</v>
      </c>
      <c r="N35" s="108">
        <v>213.33</v>
      </c>
      <c r="O35" s="108">
        <f>G35/15*2</f>
        <v>295.81733333333335</v>
      </c>
      <c r="P35" s="108">
        <v>97.21</v>
      </c>
      <c r="Q35" s="108"/>
      <c r="R35" s="90"/>
      <c r="S35" s="90"/>
      <c r="T35" s="78">
        <f t="shared" si="7"/>
        <v>3343.3173333333334</v>
      </c>
      <c r="U35" s="90">
        <v>134.57</v>
      </c>
      <c r="V35" s="90">
        <v>55.93</v>
      </c>
      <c r="W35" s="109"/>
      <c r="X35" s="90"/>
      <c r="Y35" s="90"/>
      <c r="Z35" s="78">
        <v>597.29999999999995</v>
      </c>
      <c r="AA35" s="78">
        <f t="shared" si="8"/>
        <v>787.8</v>
      </c>
      <c r="AB35" s="78">
        <f t="shared" si="9"/>
        <v>2555.5173333333332</v>
      </c>
      <c r="AC35" s="80">
        <v>305</v>
      </c>
      <c r="AD35" s="80"/>
    </row>
    <row r="38" spans="1:30" ht="14.45" x14ac:dyDescent="0.3">
      <c r="B38" s="106"/>
      <c r="C38" s="106"/>
      <c r="D38" s="106"/>
    </row>
  </sheetData>
  <pageMargins left="0.62992125984251968" right="3.937007874015748E-2" top="0.74803149606299213" bottom="0.74803149606299213" header="0.31496062992125984" footer="0.31496062992125984"/>
  <pageSetup scale="5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106"/>
  <sheetViews>
    <sheetView topLeftCell="E1" zoomScaleNormal="100" workbookViewId="0">
      <selection activeCell="V60" sqref="V60"/>
    </sheetView>
  </sheetViews>
  <sheetFormatPr baseColWidth="10" defaultRowHeight="15" x14ac:dyDescent="0.25"/>
  <cols>
    <col min="1" max="1" width="12.42578125" style="2" hidden="1" customWidth="1"/>
    <col min="2" max="2" width="10.85546875" style="2" hidden="1" customWidth="1"/>
    <col min="3" max="3" width="30.42578125" style="2" hidden="1" customWidth="1"/>
    <col min="4" max="4" width="13" style="2" hidden="1" customWidth="1"/>
    <col min="5" max="5" width="4.140625" style="2" bestFit="1" customWidth="1"/>
    <col min="6" max="6" width="30.140625" style="2" customWidth="1"/>
    <col min="7" max="7" width="6.28515625" style="43" customWidth="1"/>
    <col min="8" max="8" width="7.7109375" style="43" bestFit="1" customWidth="1"/>
    <col min="9" max="9" width="7.5703125" style="43" customWidth="1"/>
    <col min="10" max="10" width="7.28515625" style="43" customWidth="1"/>
    <col min="11" max="11" width="7.85546875" style="43" bestFit="1" customWidth="1"/>
    <col min="12" max="12" width="8.140625" style="43" customWidth="1"/>
    <col min="13" max="13" width="8.7109375" style="43" bestFit="1" customWidth="1"/>
    <col min="14" max="14" width="9.7109375" style="43" customWidth="1"/>
    <col min="15" max="15" width="9.85546875" style="43" customWidth="1"/>
    <col min="16" max="16" width="7" style="196" bestFit="1" customWidth="1"/>
    <col min="17" max="17" width="7.7109375" style="43" bestFit="1" customWidth="1"/>
    <col min="18" max="18" width="7" style="186" customWidth="1"/>
    <col min="19" max="19" width="7.5703125" style="186" bestFit="1" customWidth="1"/>
    <col min="20" max="21" width="7" style="43" bestFit="1" customWidth="1"/>
    <col min="22" max="22" width="9.7109375" style="43" customWidth="1"/>
    <col min="23" max="23" width="7.5703125" style="43" customWidth="1"/>
    <col min="24" max="24" width="13.7109375" style="2" customWidth="1"/>
    <col min="25" max="25" width="18" style="2" customWidth="1"/>
    <col min="26" max="26" width="8.5703125" style="118" customWidth="1"/>
  </cols>
  <sheetData>
    <row r="1" spans="1:26" ht="8.25" customHeight="1" x14ac:dyDescent="0.3">
      <c r="A1" s="1"/>
      <c r="B1" s="1"/>
      <c r="C1" s="1"/>
      <c r="D1" s="1"/>
      <c r="F1" s="116"/>
      <c r="G1" s="116"/>
      <c r="H1" s="116"/>
      <c r="I1" s="117"/>
      <c r="J1" s="116" t="s">
        <v>277</v>
      </c>
      <c r="K1" s="116"/>
      <c r="L1" s="116"/>
      <c r="M1" s="116"/>
      <c r="N1" s="116"/>
      <c r="O1" s="116"/>
      <c r="P1" s="192"/>
      <c r="Q1" s="116"/>
      <c r="R1" s="116"/>
      <c r="S1" s="116"/>
      <c r="T1" s="116"/>
      <c r="U1" s="116"/>
      <c r="V1" s="116"/>
      <c r="W1" s="116"/>
      <c r="X1" s="116"/>
      <c r="Y1" s="116"/>
    </row>
    <row r="2" spans="1:26" ht="8.25" customHeight="1" x14ac:dyDescent="0.3">
      <c r="A2" s="1"/>
      <c r="B2" s="1"/>
      <c r="C2" s="1"/>
      <c r="D2" s="1"/>
      <c r="F2" s="116"/>
      <c r="G2" s="116"/>
      <c r="H2" s="116"/>
      <c r="I2" s="117"/>
      <c r="J2" s="116" t="s">
        <v>295</v>
      </c>
      <c r="K2" s="116"/>
      <c r="L2" s="116"/>
      <c r="M2" s="116"/>
      <c r="N2" s="116"/>
      <c r="O2" s="116"/>
      <c r="P2" s="192"/>
      <c r="Q2" s="116"/>
      <c r="R2" s="116"/>
      <c r="S2" s="116"/>
      <c r="T2" s="116"/>
      <c r="U2" s="116"/>
      <c r="V2" s="116"/>
      <c r="W2" s="116"/>
      <c r="X2" s="116"/>
      <c r="Y2" s="116"/>
    </row>
    <row r="3" spans="1:26" s="65" customFormat="1" ht="8.25" customHeight="1" thickBot="1" x14ac:dyDescent="0.35">
      <c r="A3" s="54"/>
      <c r="B3" s="54"/>
      <c r="C3" s="54"/>
      <c r="D3" s="54"/>
      <c r="E3" s="119"/>
      <c r="F3" s="119"/>
      <c r="G3" s="119"/>
      <c r="H3" s="119">
        <v>12201</v>
      </c>
      <c r="I3" s="119">
        <v>15404</v>
      </c>
      <c r="J3" s="119">
        <v>15406</v>
      </c>
      <c r="K3" s="119">
        <v>13301</v>
      </c>
      <c r="L3" s="119">
        <v>15901</v>
      </c>
      <c r="M3" s="119">
        <v>13204</v>
      </c>
      <c r="N3" s="119">
        <v>13204</v>
      </c>
      <c r="O3" s="119"/>
      <c r="P3" s="193">
        <v>2111.1</v>
      </c>
      <c r="Q3" s="121">
        <v>52010304</v>
      </c>
      <c r="R3" s="119">
        <v>52010102</v>
      </c>
      <c r="S3" s="119"/>
      <c r="T3" s="119">
        <v>52010305</v>
      </c>
      <c r="U3" s="122">
        <v>52010501</v>
      </c>
      <c r="V3" s="119"/>
      <c r="W3" s="119"/>
      <c r="X3" s="119"/>
      <c r="Y3" s="119"/>
    </row>
    <row r="4" spans="1:26" ht="20.25" customHeight="1" thickBot="1" x14ac:dyDescent="0.35">
      <c r="A4" s="123" t="s">
        <v>279</v>
      </c>
      <c r="B4" s="67" t="s">
        <v>249</v>
      </c>
      <c r="C4" s="67" t="s">
        <v>250</v>
      </c>
      <c r="D4" s="67" t="s">
        <v>251</v>
      </c>
      <c r="E4" s="124" t="s">
        <v>0</v>
      </c>
      <c r="F4" s="125" t="s">
        <v>280</v>
      </c>
      <c r="G4" s="126" t="s">
        <v>281</v>
      </c>
      <c r="H4" s="126" t="s">
        <v>254</v>
      </c>
      <c r="I4" s="126" t="s">
        <v>257</v>
      </c>
      <c r="J4" s="126" t="s">
        <v>261</v>
      </c>
      <c r="K4" s="126" t="s">
        <v>282</v>
      </c>
      <c r="L4" s="126" t="s">
        <v>283</v>
      </c>
      <c r="M4" s="127" t="s">
        <v>264</v>
      </c>
      <c r="N4" s="126" t="s">
        <v>265</v>
      </c>
      <c r="O4" s="126" t="s">
        <v>55</v>
      </c>
      <c r="P4" s="194" t="s">
        <v>1</v>
      </c>
      <c r="Q4" s="126" t="s">
        <v>284</v>
      </c>
      <c r="R4" s="128" t="s">
        <v>56</v>
      </c>
      <c r="S4" s="129" t="s">
        <v>270</v>
      </c>
      <c r="T4" s="126" t="s">
        <v>285</v>
      </c>
      <c r="U4" s="126" t="s">
        <v>286</v>
      </c>
      <c r="V4" s="126" t="s">
        <v>272</v>
      </c>
      <c r="W4" s="126" t="s">
        <v>273</v>
      </c>
      <c r="X4" s="126" t="s">
        <v>287</v>
      </c>
      <c r="Y4" s="126" t="s">
        <v>288</v>
      </c>
    </row>
    <row r="5" spans="1:26" s="137" customFormat="1" ht="9" customHeight="1" x14ac:dyDescent="0.3">
      <c r="A5" s="3" t="s">
        <v>57</v>
      </c>
      <c r="B5" s="73" t="s">
        <v>58</v>
      </c>
      <c r="C5" s="73" t="s">
        <v>52</v>
      </c>
      <c r="D5" s="73"/>
      <c r="E5" s="130">
        <v>1</v>
      </c>
      <c r="F5" s="131" t="s">
        <v>59</v>
      </c>
      <c r="G5" s="131">
        <v>204.29</v>
      </c>
      <c r="H5" s="132">
        <f>G5*12</f>
        <v>2451.48</v>
      </c>
      <c r="I5" s="131"/>
      <c r="J5" s="131">
        <f>G5*1</f>
        <v>204.29</v>
      </c>
      <c r="K5" s="195"/>
      <c r="L5" s="131">
        <f>Y5+X5</f>
        <v>670</v>
      </c>
      <c r="M5" s="132"/>
      <c r="N5" s="132"/>
      <c r="O5" s="132">
        <f t="shared" ref="O5:O54" si="0">SUM(H5:N5)</f>
        <v>3325.77</v>
      </c>
      <c r="P5" s="131">
        <v>257.76</v>
      </c>
      <c r="Q5" s="133"/>
      <c r="R5" s="134"/>
      <c r="S5" s="134"/>
      <c r="T5" s="131"/>
      <c r="U5" s="131"/>
      <c r="V5" s="132">
        <f>SUM(P5:U5)</f>
        <v>257.76</v>
      </c>
      <c r="W5" s="135">
        <f>O5-V5</f>
        <v>3068.01</v>
      </c>
      <c r="X5" s="131">
        <v>670</v>
      </c>
      <c r="Y5" s="131"/>
      <c r="Z5" s="136"/>
    </row>
    <row r="6" spans="1:26" s="137" customFormat="1" ht="9" customHeight="1" x14ac:dyDescent="0.25">
      <c r="A6" s="4" t="s">
        <v>57</v>
      </c>
      <c r="B6" s="73" t="s">
        <v>58</v>
      </c>
      <c r="C6" s="73" t="s">
        <v>60</v>
      </c>
      <c r="D6" s="73"/>
      <c r="E6" s="130">
        <v>2</v>
      </c>
      <c r="F6" s="131" t="s">
        <v>61</v>
      </c>
      <c r="G6" s="131">
        <v>111.56</v>
      </c>
      <c r="H6" s="132">
        <f t="shared" ref="H6:H53" si="1">G6*15</f>
        <v>1673.4</v>
      </c>
      <c r="I6" s="131"/>
      <c r="J6" s="131">
        <f>G6</f>
        <v>111.56</v>
      </c>
      <c r="K6" s="131">
        <f>G6*3</f>
        <v>334.68</v>
      </c>
      <c r="L6" s="131">
        <f t="shared" ref="L6:L54" si="2">Y6+X6</f>
        <v>700</v>
      </c>
      <c r="M6" s="132">
        <f>G6*10</f>
        <v>1115.5999999999999</v>
      </c>
      <c r="N6" s="131">
        <f>M6*0.25</f>
        <v>278.89999999999998</v>
      </c>
      <c r="O6" s="132">
        <f t="shared" si="0"/>
        <v>4214.1399999999994</v>
      </c>
      <c r="P6" s="131">
        <v>383.35</v>
      </c>
      <c r="Q6" s="133">
        <v>250</v>
      </c>
      <c r="R6" s="134">
        <v>40.229999999999997</v>
      </c>
      <c r="S6" s="134"/>
      <c r="T6" s="131"/>
      <c r="U6" s="131"/>
      <c r="V6" s="132">
        <f t="shared" ref="V6:V54" si="3">SUM(P6:U6)</f>
        <v>673.58</v>
      </c>
      <c r="W6" s="135">
        <f t="shared" ref="W6:W54" si="4">O6-V6</f>
        <v>3540.5599999999995</v>
      </c>
      <c r="X6" s="131">
        <v>600</v>
      </c>
      <c r="Y6" s="131">
        <v>100</v>
      </c>
      <c r="Z6" s="136"/>
    </row>
    <row r="7" spans="1:26" s="137" customFormat="1" ht="9" customHeight="1" x14ac:dyDescent="0.3">
      <c r="A7" s="4" t="s">
        <v>57</v>
      </c>
      <c r="B7" s="73" t="s">
        <v>58</v>
      </c>
      <c r="C7" s="138" t="s">
        <v>62</v>
      </c>
      <c r="D7" s="73"/>
      <c r="E7" s="130">
        <v>3</v>
      </c>
      <c r="F7" s="139" t="s">
        <v>63</v>
      </c>
      <c r="G7" s="132">
        <v>226.66</v>
      </c>
      <c r="H7" s="132">
        <f t="shared" si="1"/>
        <v>3399.9</v>
      </c>
      <c r="I7" s="131"/>
      <c r="J7" s="132"/>
      <c r="K7" s="132">
        <f>G7*0.5</f>
        <v>113.33</v>
      </c>
      <c r="L7" s="131">
        <f t="shared" si="2"/>
        <v>500</v>
      </c>
      <c r="M7" s="132"/>
      <c r="N7" s="132"/>
      <c r="O7" s="132">
        <f t="shared" si="0"/>
        <v>4013.23</v>
      </c>
      <c r="P7" s="131">
        <v>351.21</v>
      </c>
      <c r="Q7" s="131"/>
      <c r="R7" s="134">
        <v>46.88</v>
      </c>
      <c r="S7" s="134"/>
      <c r="T7" s="131"/>
      <c r="U7" s="131"/>
      <c r="V7" s="132">
        <f t="shared" si="3"/>
        <v>398.09</v>
      </c>
      <c r="W7" s="135">
        <f t="shared" si="4"/>
        <v>3615.14</v>
      </c>
      <c r="X7" s="132">
        <v>500</v>
      </c>
      <c r="Y7" s="132"/>
      <c r="Z7" s="136"/>
    </row>
    <row r="8" spans="1:26" s="137" customFormat="1" ht="9" customHeight="1" x14ac:dyDescent="0.3">
      <c r="A8" s="4" t="s">
        <v>57</v>
      </c>
      <c r="B8" s="73" t="s">
        <v>58</v>
      </c>
      <c r="C8" s="138" t="s">
        <v>65</v>
      </c>
      <c r="D8" s="73"/>
      <c r="E8" s="130">
        <v>4</v>
      </c>
      <c r="F8" s="131" t="s">
        <v>66</v>
      </c>
      <c r="G8" s="131">
        <v>830</v>
      </c>
      <c r="H8" s="132">
        <f t="shared" si="1"/>
        <v>12450</v>
      </c>
      <c r="I8" s="131"/>
      <c r="J8" s="140"/>
      <c r="K8" s="131"/>
      <c r="L8" s="131"/>
      <c r="M8" s="132"/>
      <c r="N8" s="132"/>
      <c r="O8" s="132">
        <f t="shared" si="0"/>
        <v>12450</v>
      </c>
      <c r="P8" s="131">
        <v>2159.5500000000002</v>
      </c>
      <c r="Q8" s="132"/>
      <c r="R8" s="134">
        <v>56.26</v>
      </c>
      <c r="S8" s="134"/>
      <c r="T8" s="131"/>
      <c r="U8" s="131"/>
      <c r="V8" s="132">
        <f t="shared" si="3"/>
        <v>2215.8100000000004</v>
      </c>
      <c r="W8" s="135">
        <f t="shared" si="4"/>
        <v>10234.189999999999</v>
      </c>
      <c r="X8" s="131">
        <v>1400</v>
      </c>
      <c r="Y8" s="131"/>
      <c r="Z8" s="136"/>
    </row>
    <row r="9" spans="1:26" s="137" customFormat="1" ht="9" customHeight="1" x14ac:dyDescent="0.3">
      <c r="A9" s="4" t="s">
        <v>14</v>
      </c>
      <c r="B9" s="73" t="s">
        <v>58</v>
      </c>
      <c r="C9" s="73" t="s">
        <v>17</v>
      </c>
      <c r="D9" s="73"/>
      <c r="E9" s="130">
        <v>5</v>
      </c>
      <c r="F9" s="133" t="s">
        <v>64</v>
      </c>
      <c r="G9" s="132">
        <v>104</v>
      </c>
      <c r="H9" s="132">
        <f>G9*14</f>
        <v>1456</v>
      </c>
      <c r="I9" s="131"/>
      <c r="J9" s="133"/>
      <c r="K9" s="133"/>
      <c r="L9" s="131">
        <f t="shared" si="2"/>
        <v>1450</v>
      </c>
      <c r="M9" s="132"/>
      <c r="N9" s="133"/>
      <c r="O9" s="132">
        <f t="shared" si="0"/>
        <v>2906</v>
      </c>
      <c r="P9" s="139">
        <v>212.09</v>
      </c>
      <c r="Q9" s="133">
        <v>0</v>
      </c>
      <c r="R9" s="141"/>
      <c r="S9" s="141"/>
      <c r="T9" s="133"/>
      <c r="U9" s="133"/>
      <c r="V9" s="132">
        <f t="shared" si="3"/>
        <v>212.09</v>
      </c>
      <c r="W9" s="135">
        <f t="shared" si="4"/>
        <v>2693.91</v>
      </c>
      <c r="X9" s="133">
        <v>850</v>
      </c>
      <c r="Y9" s="133">
        <f>4*150</f>
        <v>600</v>
      </c>
      <c r="Z9" s="136"/>
    </row>
    <row r="10" spans="1:26" s="137" customFormat="1" ht="9" customHeight="1" x14ac:dyDescent="0.25">
      <c r="A10" s="142" t="s">
        <v>57</v>
      </c>
      <c r="B10" s="73" t="s">
        <v>67</v>
      </c>
      <c r="C10" s="143" t="s">
        <v>68</v>
      </c>
      <c r="D10" s="143"/>
      <c r="E10" s="130">
        <v>6</v>
      </c>
      <c r="F10" s="144" t="s">
        <v>69</v>
      </c>
      <c r="G10" s="133">
        <v>474.93</v>
      </c>
      <c r="H10" s="132">
        <f t="shared" si="1"/>
        <v>7123.95</v>
      </c>
      <c r="I10" s="131"/>
      <c r="J10" s="145"/>
      <c r="K10" s="144"/>
      <c r="L10" s="131">
        <f t="shared" si="2"/>
        <v>1000</v>
      </c>
      <c r="M10" s="133"/>
      <c r="N10" s="144"/>
      <c r="O10" s="132">
        <f t="shared" si="0"/>
        <v>8123.95</v>
      </c>
      <c r="P10" s="146">
        <v>1188.0899999999999</v>
      </c>
      <c r="Q10" s="145"/>
      <c r="R10" s="147"/>
      <c r="S10" s="147"/>
      <c r="T10" s="145"/>
      <c r="U10" s="144"/>
      <c r="V10" s="132">
        <f t="shared" si="3"/>
        <v>1188.0899999999999</v>
      </c>
      <c r="W10" s="135">
        <f t="shared" si="4"/>
        <v>6935.86</v>
      </c>
      <c r="X10" s="145"/>
      <c r="Y10" s="145">
        <v>1000</v>
      </c>
      <c r="Z10" s="136"/>
    </row>
    <row r="11" spans="1:26" s="137" customFormat="1" ht="9" customHeight="1" x14ac:dyDescent="0.3">
      <c r="A11" s="4" t="s">
        <v>24</v>
      </c>
      <c r="B11" s="73" t="s">
        <v>58</v>
      </c>
      <c r="C11" s="73" t="s">
        <v>25</v>
      </c>
      <c r="D11" s="73"/>
      <c r="E11" s="148">
        <v>7</v>
      </c>
      <c r="F11" s="149" t="s">
        <v>239</v>
      </c>
      <c r="G11" s="150">
        <v>166</v>
      </c>
      <c r="H11" s="132">
        <f t="shared" si="1"/>
        <v>2490</v>
      </c>
      <c r="I11" s="131"/>
      <c r="J11" s="149">
        <f>G11*2</f>
        <v>332</v>
      </c>
      <c r="K11" s="149"/>
      <c r="L11" s="131">
        <f t="shared" si="2"/>
        <v>150</v>
      </c>
      <c r="M11" s="150"/>
      <c r="N11" s="149"/>
      <c r="O11" s="132">
        <f t="shared" si="0"/>
        <v>2972</v>
      </c>
      <c r="P11" s="149">
        <v>219.27</v>
      </c>
      <c r="Q11" s="149"/>
      <c r="R11" s="151"/>
      <c r="S11" s="151"/>
      <c r="T11" s="149"/>
      <c r="U11" s="149"/>
      <c r="V11" s="132">
        <f t="shared" si="3"/>
        <v>219.27</v>
      </c>
      <c r="W11" s="135">
        <f t="shared" si="4"/>
        <v>2752.73</v>
      </c>
      <c r="X11" s="133">
        <v>150</v>
      </c>
      <c r="Y11" s="133"/>
      <c r="Z11" s="136"/>
    </row>
    <row r="12" spans="1:26" s="137" customFormat="1" ht="9" customHeight="1" x14ac:dyDescent="0.3">
      <c r="A12" s="160"/>
      <c r="B12" s="161"/>
      <c r="C12" s="161"/>
      <c r="D12" s="161"/>
      <c r="E12" s="148">
        <v>8</v>
      </c>
      <c r="F12" s="149" t="s">
        <v>292</v>
      </c>
      <c r="G12" s="150">
        <v>140</v>
      </c>
      <c r="H12" s="132">
        <f t="shared" si="1"/>
        <v>2100</v>
      </c>
      <c r="I12" s="131"/>
      <c r="J12" s="149">
        <f>G12*3</f>
        <v>420</v>
      </c>
      <c r="K12" s="149">
        <f>G12*7</f>
        <v>980</v>
      </c>
      <c r="L12" s="131">
        <f>Y12+X12</f>
        <v>1100</v>
      </c>
      <c r="M12" s="150"/>
      <c r="N12" s="149"/>
      <c r="O12" s="132">
        <f>SUM(H12:N12)</f>
        <v>4600</v>
      </c>
      <c r="P12" s="149">
        <v>451.83</v>
      </c>
      <c r="Q12" s="149"/>
      <c r="R12" s="151"/>
      <c r="S12" s="151"/>
      <c r="T12" s="149"/>
      <c r="U12" s="149"/>
      <c r="V12" s="132">
        <f>SUM(P12:U12)</f>
        <v>451.83</v>
      </c>
      <c r="W12" s="135">
        <f>O12-V12</f>
        <v>4148.17</v>
      </c>
      <c r="X12" s="133">
        <v>100</v>
      </c>
      <c r="Y12" s="133">
        <v>1000</v>
      </c>
      <c r="Z12" s="136"/>
    </row>
    <row r="13" spans="1:26" s="137" customFormat="1" ht="9" customHeight="1" x14ac:dyDescent="0.3">
      <c r="A13" s="3" t="s">
        <v>6</v>
      </c>
      <c r="B13" s="73" t="s">
        <v>58</v>
      </c>
      <c r="C13" s="73" t="s">
        <v>70</v>
      </c>
      <c r="D13" s="73"/>
      <c r="E13" s="130">
        <v>1</v>
      </c>
      <c r="F13" s="132" t="s">
        <v>71</v>
      </c>
      <c r="G13" s="132">
        <v>238.14</v>
      </c>
      <c r="H13" s="132">
        <f t="shared" si="1"/>
        <v>3572.1</v>
      </c>
      <c r="I13" s="131"/>
      <c r="J13" s="132">
        <v>0</v>
      </c>
      <c r="K13" s="132">
        <v>0</v>
      </c>
      <c r="L13" s="131">
        <f t="shared" si="2"/>
        <v>128</v>
      </c>
      <c r="M13" s="132"/>
      <c r="N13" s="132"/>
      <c r="O13" s="132">
        <f t="shared" si="0"/>
        <v>3700.1</v>
      </c>
      <c r="P13" s="131">
        <v>301.10000000000002</v>
      </c>
      <c r="Q13" s="152"/>
      <c r="R13" s="153"/>
      <c r="S13" s="153"/>
      <c r="T13" s="132">
        <v>0</v>
      </c>
      <c r="U13" s="132"/>
      <c r="V13" s="132">
        <f t="shared" si="3"/>
        <v>301.10000000000002</v>
      </c>
      <c r="W13" s="135">
        <f t="shared" si="4"/>
        <v>3399</v>
      </c>
      <c r="X13" s="132">
        <v>128</v>
      </c>
      <c r="Y13" s="132"/>
      <c r="Z13" s="136"/>
    </row>
    <row r="14" spans="1:26" s="137" customFormat="1" ht="9" customHeight="1" x14ac:dyDescent="0.3">
      <c r="A14" s="3" t="s">
        <v>6</v>
      </c>
      <c r="B14" s="73" t="s">
        <v>58</v>
      </c>
      <c r="C14" s="73" t="s">
        <v>17</v>
      </c>
      <c r="D14" s="73"/>
      <c r="E14" s="130">
        <v>2</v>
      </c>
      <c r="F14" s="131" t="s">
        <v>72</v>
      </c>
      <c r="G14" s="131">
        <v>138.68</v>
      </c>
      <c r="H14" s="132">
        <f>G14*15</f>
        <v>2080.2000000000003</v>
      </c>
      <c r="I14" s="131"/>
      <c r="J14" s="131"/>
      <c r="K14" s="131"/>
      <c r="L14" s="131">
        <f t="shared" si="2"/>
        <v>1028</v>
      </c>
      <c r="M14" s="132"/>
      <c r="N14" s="132"/>
      <c r="O14" s="132">
        <f t="shared" si="0"/>
        <v>3108.2000000000003</v>
      </c>
      <c r="P14" s="131">
        <v>234.09</v>
      </c>
      <c r="Q14" s="133"/>
      <c r="R14" s="134">
        <v>50</v>
      </c>
      <c r="S14" s="134"/>
      <c r="T14" s="131"/>
      <c r="U14" s="131"/>
      <c r="V14" s="132">
        <f t="shared" si="3"/>
        <v>284.09000000000003</v>
      </c>
      <c r="W14" s="135">
        <f t="shared" si="4"/>
        <v>2824.11</v>
      </c>
      <c r="X14" s="131">
        <v>128</v>
      </c>
      <c r="Y14" s="131">
        <f>6*150</f>
        <v>900</v>
      </c>
      <c r="Z14" s="136"/>
    </row>
    <row r="15" spans="1:26" s="137" customFormat="1" ht="9" customHeight="1" x14ac:dyDescent="0.3">
      <c r="A15" s="4" t="s">
        <v>6</v>
      </c>
      <c r="B15" s="73" t="s">
        <v>58</v>
      </c>
      <c r="C15" s="73" t="s">
        <v>73</v>
      </c>
      <c r="D15" s="73"/>
      <c r="E15" s="130">
        <v>3</v>
      </c>
      <c r="F15" s="131" t="s">
        <v>74</v>
      </c>
      <c r="G15" s="131">
        <v>300</v>
      </c>
      <c r="H15" s="132">
        <f t="shared" si="1"/>
        <v>4500</v>
      </c>
      <c r="I15" s="131"/>
      <c r="J15" s="131">
        <v>0</v>
      </c>
      <c r="K15" s="131"/>
      <c r="L15" s="131">
        <f t="shared" si="2"/>
        <v>128</v>
      </c>
      <c r="M15" s="132"/>
      <c r="N15" s="132"/>
      <c r="O15" s="132">
        <f t="shared" si="0"/>
        <v>4628</v>
      </c>
      <c r="P15" s="131">
        <v>456.84</v>
      </c>
      <c r="Q15" s="133"/>
      <c r="R15" s="134"/>
      <c r="S15" s="134"/>
      <c r="T15" s="131"/>
      <c r="U15" s="131"/>
      <c r="V15" s="132">
        <f t="shared" si="3"/>
        <v>456.84</v>
      </c>
      <c r="W15" s="135">
        <f t="shared" si="4"/>
        <v>4171.16</v>
      </c>
      <c r="X15" s="131">
        <v>128</v>
      </c>
      <c r="Y15" s="131"/>
      <c r="Z15" s="136"/>
    </row>
    <row r="16" spans="1:26" s="137" customFormat="1" ht="9" customHeight="1" x14ac:dyDescent="0.3">
      <c r="A16" s="4" t="s">
        <v>6</v>
      </c>
      <c r="B16" s="73" t="s">
        <v>58</v>
      </c>
      <c r="C16" s="73" t="s">
        <v>75</v>
      </c>
      <c r="D16" s="73"/>
      <c r="E16" s="130">
        <v>4</v>
      </c>
      <c r="F16" s="131" t="s">
        <v>76</v>
      </c>
      <c r="G16" s="131">
        <v>695.4</v>
      </c>
      <c r="H16" s="132">
        <f t="shared" si="1"/>
        <v>10431</v>
      </c>
      <c r="I16" s="131"/>
      <c r="J16" s="131"/>
      <c r="K16" s="131"/>
      <c r="L16" s="131">
        <f t="shared" si="2"/>
        <v>0</v>
      </c>
      <c r="M16" s="132"/>
      <c r="N16" s="132"/>
      <c r="O16" s="132">
        <f t="shared" si="0"/>
        <v>10431</v>
      </c>
      <c r="P16" s="131">
        <v>1684.68</v>
      </c>
      <c r="Q16" s="132"/>
      <c r="R16" s="134"/>
      <c r="S16" s="134"/>
      <c r="T16" s="131"/>
      <c r="U16" s="131"/>
      <c r="V16" s="132">
        <f t="shared" si="3"/>
        <v>1684.68</v>
      </c>
      <c r="W16" s="135">
        <f t="shared" si="4"/>
        <v>8746.32</v>
      </c>
      <c r="X16" s="131"/>
      <c r="Y16" s="131"/>
      <c r="Z16" s="136"/>
    </row>
    <row r="17" spans="1:26" s="137" customFormat="1" ht="9" customHeight="1" x14ac:dyDescent="0.3">
      <c r="A17" s="3" t="s">
        <v>6</v>
      </c>
      <c r="B17" s="73" t="s">
        <v>58</v>
      </c>
      <c r="C17" s="73" t="s">
        <v>17</v>
      </c>
      <c r="D17" s="73"/>
      <c r="E17" s="130">
        <v>5</v>
      </c>
      <c r="F17" s="139" t="s">
        <v>77</v>
      </c>
      <c r="G17" s="131">
        <v>160.80000000000001</v>
      </c>
      <c r="H17" s="132">
        <f t="shared" si="1"/>
        <v>2412</v>
      </c>
      <c r="I17" s="131"/>
      <c r="J17" s="131">
        <v>249.60000000000002</v>
      </c>
      <c r="K17" s="131">
        <v>374.4</v>
      </c>
      <c r="L17" s="131">
        <f t="shared" si="2"/>
        <v>1850</v>
      </c>
      <c r="M17" s="132"/>
      <c r="N17" s="132">
        <v>0</v>
      </c>
      <c r="O17" s="132">
        <f t="shared" si="0"/>
        <v>4886</v>
      </c>
      <c r="P17" s="131">
        <v>503.08</v>
      </c>
      <c r="Q17" s="132"/>
      <c r="R17" s="134">
        <v>37.5</v>
      </c>
      <c r="S17" s="134"/>
      <c r="T17" s="131"/>
      <c r="U17" s="131"/>
      <c r="V17" s="132">
        <f t="shared" si="3"/>
        <v>540.57999999999993</v>
      </c>
      <c r="W17" s="135">
        <f t="shared" si="4"/>
        <v>4345.42</v>
      </c>
      <c r="X17" s="131">
        <v>950</v>
      </c>
      <c r="Y17" s="131">
        <f>6*150</f>
        <v>900</v>
      </c>
      <c r="Z17" s="136"/>
    </row>
    <row r="18" spans="1:26" s="137" customFormat="1" ht="9" customHeight="1" x14ac:dyDescent="0.3">
      <c r="A18" s="6" t="s">
        <v>6</v>
      </c>
      <c r="B18" s="73" t="s">
        <v>58</v>
      </c>
      <c r="C18" s="154" t="s">
        <v>78</v>
      </c>
      <c r="D18" s="154"/>
      <c r="E18" s="155">
        <v>6</v>
      </c>
      <c r="F18" s="139" t="s">
        <v>79</v>
      </c>
      <c r="G18" s="139">
        <v>121.34</v>
      </c>
      <c r="H18" s="132">
        <f t="shared" si="1"/>
        <v>1820.1000000000001</v>
      </c>
      <c r="I18" s="131"/>
      <c r="J18" s="139"/>
      <c r="K18" s="139"/>
      <c r="L18" s="131">
        <f t="shared" si="2"/>
        <v>380</v>
      </c>
      <c r="M18" s="132"/>
      <c r="N18" s="132"/>
      <c r="O18" s="132">
        <f t="shared" si="0"/>
        <v>2200.1000000000004</v>
      </c>
      <c r="P18" s="139">
        <v>135.29</v>
      </c>
      <c r="Q18" s="133"/>
      <c r="R18" s="156"/>
      <c r="S18" s="156"/>
      <c r="T18" s="139"/>
      <c r="U18" s="139"/>
      <c r="V18" s="132">
        <f t="shared" si="3"/>
        <v>135.29</v>
      </c>
      <c r="W18" s="135">
        <f t="shared" si="4"/>
        <v>2064.8100000000004</v>
      </c>
      <c r="X18" s="139">
        <v>380</v>
      </c>
      <c r="Y18" s="139"/>
      <c r="Z18" s="136"/>
    </row>
    <row r="19" spans="1:26" s="137" customFormat="1" ht="9" customHeight="1" x14ac:dyDescent="0.3">
      <c r="A19" s="4" t="s">
        <v>6</v>
      </c>
      <c r="B19" s="73" t="s">
        <v>58</v>
      </c>
      <c r="C19" s="73" t="s">
        <v>9</v>
      </c>
      <c r="D19" s="73"/>
      <c r="E19" s="130">
        <v>7</v>
      </c>
      <c r="F19" s="133" t="s">
        <v>80</v>
      </c>
      <c r="G19" s="133">
        <v>156</v>
      </c>
      <c r="H19" s="132">
        <f t="shared" si="1"/>
        <v>2340</v>
      </c>
      <c r="I19" s="131"/>
      <c r="J19" s="133">
        <f>G19*4</f>
        <v>624</v>
      </c>
      <c r="K19" s="133"/>
      <c r="L19" s="131">
        <f t="shared" si="2"/>
        <v>180</v>
      </c>
      <c r="M19" s="132"/>
      <c r="N19" s="132"/>
      <c r="O19" s="132">
        <f t="shared" si="0"/>
        <v>3144</v>
      </c>
      <c r="P19" s="139">
        <v>237.98</v>
      </c>
      <c r="Q19" s="133"/>
      <c r="R19" s="141"/>
      <c r="S19" s="141"/>
      <c r="T19" s="133"/>
      <c r="U19" s="133"/>
      <c r="V19" s="132">
        <f t="shared" si="3"/>
        <v>237.98</v>
      </c>
      <c r="W19" s="135">
        <f t="shared" si="4"/>
        <v>2906.02</v>
      </c>
      <c r="X19" s="133">
        <v>180</v>
      </c>
      <c r="Y19" s="133"/>
      <c r="Z19" s="136"/>
    </row>
    <row r="20" spans="1:26" s="137" customFormat="1" ht="9" customHeight="1" x14ac:dyDescent="0.3">
      <c r="A20" s="4" t="s">
        <v>6</v>
      </c>
      <c r="B20" s="73" t="s">
        <v>58</v>
      </c>
      <c r="C20" s="73" t="s">
        <v>17</v>
      </c>
      <c r="D20" s="73"/>
      <c r="E20" s="130">
        <v>8</v>
      </c>
      <c r="F20" s="133" t="s">
        <v>81</v>
      </c>
      <c r="G20" s="157">
        <v>104</v>
      </c>
      <c r="H20" s="132">
        <f>G20*13</f>
        <v>1352</v>
      </c>
      <c r="I20" s="131"/>
      <c r="J20" s="157"/>
      <c r="K20" s="157"/>
      <c r="L20" s="131">
        <f t="shared" si="2"/>
        <v>410</v>
      </c>
      <c r="M20" s="157"/>
      <c r="N20" s="157">
        <v>0</v>
      </c>
      <c r="O20" s="132">
        <f t="shared" si="0"/>
        <v>1762</v>
      </c>
      <c r="P20" s="144">
        <v>101.75</v>
      </c>
      <c r="Q20" s="157">
        <v>0</v>
      </c>
      <c r="R20" s="158"/>
      <c r="S20" s="158"/>
      <c r="T20" s="157"/>
      <c r="U20" s="157"/>
      <c r="V20" s="132">
        <f t="shared" si="3"/>
        <v>101.75</v>
      </c>
      <c r="W20" s="135">
        <f t="shared" si="4"/>
        <v>1660.25</v>
      </c>
      <c r="X20" s="133">
        <v>110</v>
      </c>
      <c r="Y20" s="133">
        <f>150*2</f>
        <v>300</v>
      </c>
      <c r="Z20" s="136"/>
    </row>
    <row r="21" spans="1:26" s="137" customFormat="1" ht="9" customHeight="1" x14ac:dyDescent="0.3">
      <c r="A21" s="4" t="s">
        <v>11</v>
      </c>
      <c r="B21" s="73" t="s">
        <v>58</v>
      </c>
      <c r="C21" s="73" t="s">
        <v>12</v>
      </c>
      <c r="D21" s="73"/>
      <c r="E21" s="130">
        <v>1</v>
      </c>
      <c r="F21" s="133" t="s">
        <v>82</v>
      </c>
      <c r="G21" s="132">
        <v>194.8</v>
      </c>
      <c r="H21" s="132">
        <f t="shared" si="1"/>
        <v>2922</v>
      </c>
      <c r="I21" s="131"/>
      <c r="J21" s="133">
        <f>G21*2</f>
        <v>389.6</v>
      </c>
      <c r="K21" s="133"/>
      <c r="L21" s="131">
        <f>Y21+X21</f>
        <v>1175</v>
      </c>
      <c r="M21" s="132"/>
      <c r="N21" s="132"/>
      <c r="O21" s="132">
        <f t="shared" si="0"/>
        <v>4486.6000000000004</v>
      </c>
      <c r="P21" s="131">
        <v>431.5</v>
      </c>
      <c r="Q21" s="133">
        <v>500</v>
      </c>
      <c r="R21" s="141"/>
      <c r="S21" s="141"/>
      <c r="T21" s="133"/>
      <c r="U21" s="133"/>
      <c r="V21" s="132">
        <f t="shared" si="3"/>
        <v>931.5</v>
      </c>
      <c r="W21" s="135">
        <f t="shared" si="4"/>
        <v>3555.1000000000004</v>
      </c>
      <c r="X21" s="133">
        <v>675</v>
      </c>
      <c r="Y21" s="133">
        <v>500</v>
      </c>
      <c r="Z21" s="136"/>
    </row>
    <row r="22" spans="1:26" s="137" customFormat="1" ht="9" customHeight="1" x14ac:dyDescent="0.3">
      <c r="A22" s="4" t="s">
        <v>11</v>
      </c>
      <c r="B22" s="73" t="s">
        <v>67</v>
      </c>
      <c r="C22" s="73" t="s">
        <v>83</v>
      </c>
      <c r="D22" s="73"/>
      <c r="E22" s="130">
        <v>2</v>
      </c>
      <c r="F22" s="139" t="s">
        <v>84</v>
      </c>
      <c r="G22" s="132">
        <v>605</v>
      </c>
      <c r="H22" s="132">
        <f t="shared" si="1"/>
        <v>9075</v>
      </c>
      <c r="I22" s="131"/>
      <c r="J22" s="131"/>
      <c r="K22" s="139"/>
      <c r="L22" s="131">
        <v>400</v>
      </c>
      <c r="M22" s="132"/>
      <c r="N22" s="139"/>
      <c r="O22" s="132">
        <f t="shared" si="0"/>
        <v>9475</v>
      </c>
      <c r="P22" s="132">
        <v>1476.67</v>
      </c>
      <c r="Q22" s="131"/>
      <c r="R22" s="134">
        <v>237.12</v>
      </c>
      <c r="S22" s="134"/>
      <c r="T22" s="131"/>
      <c r="U22" s="139"/>
      <c r="V22" s="132">
        <f t="shared" si="3"/>
        <v>1713.79</v>
      </c>
      <c r="W22" s="135">
        <f t="shared" si="4"/>
        <v>7761.21</v>
      </c>
      <c r="X22" s="131"/>
      <c r="Y22" s="131"/>
      <c r="Z22" s="136"/>
    </row>
    <row r="23" spans="1:26" s="137" customFormat="1" ht="9" customHeight="1" x14ac:dyDescent="0.3">
      <c r="A23" s="160"/>
      <c r="B23" s="161"/>
      <c r="C23" s="161"/>
      <c r="D23" s="161"/>
      <c r="E23" s="148">
        <v>3</v>
      </c>
      <c r="F23" s="149" t="s">
        <v>132</v>
      </c>
      <c r="G23" s="150">
        <v>300</v>
      </c>
      <c r="H23" s="132">
        <f t="shared" si="1"/>
        <v>4500</v>
      </c>
      <c r="I23" s="131"/>
      <c r="J23" s="150"/>
      <c r="K23" s="149"/>
      <c r="L23" s="131">
        <f t="shared" si="2"/>
        <v>0</v>
      </c>
      <c r="M23" s="150"/>
      <c r="N23" s="149"/>
      <c r="O23" s="132">
        <f t="shared" si="0"/>
        <v>4500</v>
      </c>
      <c r="P23" s="150">
        <v>433.91</v>
      </c>
      <c r="Q23" s="150"/>
      <c r="R23" s="162"/>
      <c r="S23" s="162"/>
      <c r="T23" s="150"/>
      <c r="U23" s="149"/>
      <c r="V23" s="132">
        <f t="shared" si="3"/>
        <v>433.91</v>
      </c>
      <c r="W23" s="135">
        <f t="shared" si="4"/>
        <v>4066.09</v>
      </c>
      <c r="X23" s="150"/>
      <c r="Y23" s="150"/>
      <c r="Z23" s="136"/>
    </row>
    <row r="24" spans="1:26" s="137" customFormat="1" ht="9" customHeight="1" x14ac:dyDescent="0.3">
      <c r="A24" s="4" t="s">
        <v>14</v>
      </c>
      <c r="B24" s="73" t="s">
        <v>85</v>
      </c>
      <c r="C24" s="73" t="s">
        <v>78</v>
      </c>
      <c r="D24" s="73"/>
      <c r="E24" s="130">
        <v>1</v>
      </c>
      <c r="F24" s="131" t="s">
        <v>86</v>
      </c>
      <c r="G24" s="139">
        <v>200.7</v>
      </c>
      <c r="H24" s="132">
        <f t="shared" si="1"/>
        <v>3010.5</v>
      </c>
      <c r="I24" s="131"/>
      <c r="J24" s="139"/>
      <c r="K24" s="139">
        <f>G24*2</f>
        <v>401.4</v>
      </c>
      <c r="L24" s="131">
        <f t="shared" si="2"/>
        <v>1100</v>
      </c>
      <c r="M24" s="133"/>
      <c r="N24" s="133"/>
      <c r="O24" s="132">
        <f t="shared" si="0"/>
        <v>4511.8999999999996</v>
      </c>
      <c r="P24" s="139">
        <v>436.04</v>
      </c>
      <c r="Q24" s="133"/>
      <c r="R24" s="156"/>
      <c r="S24" s="156"/>
      <c r="T24" s="139">
        <v>0</v>
      </c>
      <c r="U24" s="139">
        <v>28.05</v>
      </c>
      <c r="V24" s="132">
        <f t="shared" si="3"/>
        <v>464.09000000000003</v>
      </c>
      <c r="W24" s="135">
        <f t="shared" si="4"/>
        <v>4047.8099999999995</v>
      </c>
      <c r="X24" s="139">
        <v>1100</v>
      </c>
      <c r="Y24" s="139"/>
      <c r="Z24" s="136"/>
    </row>
    <row r="25" spans="1:26" s="137" customFormat="1" ht="9" customHeight="1" x14ac:dyDescent="0.3">
      <c r="A25" s="4" t="s">
        <v>14</v>
      </c>
      <c r="B25" s="73" t="s">
        <v>58</v>
      </c>
      <c r="C25" s="73" t="s">
        <v>17</v>
      </c>
      <c r="D25" s="73"/>
      <c r="E25" s="130">
        <v>2</v>
      </c>
      <c r="F25" s="133" t="s">
        <v>87</v>
      </c>
      <c r="G25" s="133">
        <v>104</v>
      </c>
      <c r="H25" s="132">
        <f>G25*13</f>
        <v>1352</v>
      </c>
      <c r="I25" s="131"/>
      <c r="J25" s="133"/>
      <c r="K25" s="133">
        <v>0</v>
      </c>
      <c r="L25" s="131">
        <f t="shared" si="2"/>
        <v>850</v>
      </c>
      <c r="M25" s="133"/>
      <c r="N25" s="133"/>
      <c r="O25" s="132">
        <f t="shared" si="0"/>
        <v>2202</v>
      </c>
      <c r="P25" s="139">
        <v>135.49</v>
      </c>
      <c r="Q25" s="133"/>
      <c r="R25" s="141"/>
      <c r="S25" s="141"/>
      <c r="T25" s="133"/>
      <c r="U25" s="133"/>
      <c r="V25" s="132">
        <f t="shared" si="3"/>
        <v>135.49</v>
      </c>
      <c r="W25" s="135">
        <f t="shared" si="4"/>
        <v>2066.5100000000002</v>
      </c>
      <c r="X25" s="133">
        <v>100</v>
      </c>
      <c r="Y25" s="133">
        <f>5*150</f>
        <v>750</v>
      </c>
      <c r="Z25" s="136"/>
    </row>
    <row r="26" spans="1:26" s="137" customFormat="1" ht="9" customHeight="1" x14ac:dyDescent="0.3">
      <c r="A26" s="4" t="s">
        <v>24</v>
      </c>
      <c r="B26" s="73" t="s">
        <v>58</v>
      </c>
      <c r="C26" s="73" t="s">
        <v>118</v>
      </c>
      <c r="D26" s="73"/>
      <c r="E26" s="130">
        <v>3</v>
      </c>
      <c r="F26" s="139" t="s">
        <v>232</v>
      </c>
      <c r="G26" s="139">
        <v>104</v>
      </c>
      <c r="H26" s="132">
        <f>G26*13</f>
        <v>1352</v>
      </c>
      <c r="I26" s="131"/>
      <c r="J26" s="139"/>
      <c r="K26" s="139"/>
      <c r="L26" s="131">
        <f t="shared" si="2"/>
        <v>850</v>
      </c>
      <c r="M26" s="139"/>
      <c r="N26" s="139"/>
      <c r="O26" s="132">
        <f t="shared" si="0"/>
        <v>2202</v>
      </c>
      <c r="P26" s="139">
        <v>135.49</v>
      </c>
      <c r="Q26" s="139"/>
      <c r="R26" s="156"/>
      <c r="S26" s="156"/>
      <c r="T26" s="139"/>
      <c r="U26" s="139"/>
      <c r="V26" s="132">
        <f t="shared" si="3"/>
        <v>135.49</v>
      </c>
      <c r="W26" s="135">
        <f t="shared" si="4"/>
        <v>2066.5100000000002</v>
      </c>
      <c r="X26" s="133">
        <v>100</v>
      </c>
      <c r="Y26" s="139">
        <f>5*150</f>
        <v>750</v>
      </c>
      <c r="Z26" s="136"/>
    </row>
    <row r="27" spans="1:26" s="137" customFormat="1" ht="9" customHeight="1" x14ac:dyDescent="0.3">
      <c r="A27" s="4" t="s">
        <v>14</v>
      </c>
      <c r="B27" s="73" t="s">
        <v>58</v>
      </c>
      <c r="C27" s="73" t="s">
        <v>17</v>
      </c>
      <c r="D27" s="73"/>
      <c r="E27" s="130">
        <v>4</v>
      </c>
      <c r="F27" s="163" t="s">
        <v>241</v>
      </c>
      <c r="G27" s="141">
        <v>124.66</v>
      </c>
      <c r="H27" s="132">
        <f t="shared" si="1"/>
        <v>1869.8999999999999</v>
      </c>
      <c r="I27" s="131"/>
      <c r="J27" s="133"/>
      <c r="K27" s="133"/>
      <c r="L27" s="131">
        <f t="shared" si="2"/>
        <v>1000</v>
      </c>
      <c r="M27" s="133"/>
      <c r="N27" s="133"/>
      <c r="O27" s="132">
        <f t="shared" si="0"/>
        <v>2869.8999999999996</v>
      </c>
      <c r="P27" s="139">
        <v>208.16</v>
      </c>
      <c r="Q27" s="133"/>
      <c r="R27" s="141"/>
      <c r="S27" s="141"/>
      <c r="T27" s="133"/>
      <c r="U27" s="133"/>
      <c r="V27" s="132">
        <f t="shared" si="3"/>
        <v>208.16</v>
      </c>
      <c r="W27" s="135">
        <f t="shared" si="4"/>
        <v>2661.74</v>
      </c>
      <c r="X27" s="133">
        <v>250</v>
      </c>
      <c r="Y27" s="133">
        <f>5*150</f>
        <v>750</v>
      </c>
      <c r="Z27" s="136"/>
    </row>
    <row r="28" spans="1:26" s="137" customFormat="1" ht="9" customHeight="1" x14ac:dyDescent="0.3">
      <c r="A28" s="4" t="s">
        <v>14</v>
      </c>
      <c r="B28" s="73" t="s">
        <v>58</v>
      </c>
      <c r="C28" s="73" t="s">
        <v>17</v>
      </c>
      <c r="D28" s="73"/>
      <c r="E28" s="130">
        <v>5</v>
      </c>
      <c r="F28" s="163" t="s">
        <v>88</v>
      </c>
      <c r="G28" s="141">
        <v>124.66</v>
      </c>
      <c r="H28" s="132">
        <f t="shared" si="1"/>
        <v>1869.8999999999999</v>
      </c>
      <c r="I28" s="131"/>
      <c r="J28" s="133"/>
      <c r="K28" s="133"/>
      <c r="L28" s="131">
        <f t="shared" si="2"/>
        <v>850</v>
      </c>
      <c r="M28" s="133"/>
      <c r="N28" s="133"/>
      <c r="O28" s="132">
        <f t="shared" si="0"/>
        <v>2719.8999999999996</v>
      </c>
      <c r="P28" s="139">
        <v>191.84</v>
      </c>
      <c r="Q28" s="133"/>
      <c r="R28" s="141"/>
      <c r="S28" s="141"/>
      <c r="T28" s="133"/>
      <c r="U28" s="133"/>
      <c r="V28" s="132">
        <f t="shared" si="3"/>
        <v>191.84</v>
      </c>
      <c r="W28" s="135">
        <f t="shared" si="4"/>
        <v>2528.0599999999995</v>
      </c>
      <c r="X28" s="133">
        <v>850</v>
      </c>
      <c r="Y28" s="133"/>
      <c r="Z28" s="136"/>
    </row>
    <row r="29" spans="1:26" s="137" customFormat="1" ht="9" customHeight="1" x14ac:dyDescent="0.3">
      <c r="A29" s="4" t="s">
        <v>14</v>
      </c>
      <c r="B29" s="73" t="s">
        <v>58</v>
      </c>
      <c r="C29" s="73" t="s">
        <v>17</v>
      </c>
      <c r="D29" s="73"/>
      <c r="E29" s="130">
        <v>6</v>
      </c>
      <c r="F29" s="163" t="s">
        <v>89</v>
      </c>
      <c r="G29" s="141">
        <v>104</v>
      </c>
      <c r="H29" s="132">
        <f t="shared" si="1"/>
        <v>1560</v>
      </c>
      <c r="I29" s="131"/>
      <c r="J29" s="133">
        <f>G29*9</f>
        <v>936</v>
      </c>
      <c r="K29" s="164"/>
      <c r="L29" s="131">
        <f t="shared" si="2"/>
        <v>1350</v>
      </c>
      <c r="M29" s="133"/>
      <c r="N29" s="133"/>
      <c r="O29" s="132">
        <f t="shared" si="0"/>
        <v>3846</v>
      </c>
      <c r="P29" s="139">
        <v>324.45</v>
      </c>
      <c r="Q29" s="133"/>
      <c r="R29" s="141"/>
      <c r="S29" s="141"/>
      <c r="T29" s="133"/>
      <c r="U29" s="133"/>
      <c r="V29" s="132">
        <f t="shared" si="3"/>
        <v>324.45</v>
      </c>
      <c r="W29" s="135">
        <f t="shared" si="4"/>
        <v>3521.55</v>
      </c>
      <c r="X29" s="133">
        <v>600</v>
      </c>
      <c r="Y29" s="133">
        <f>5*150</f>
        <v>750</v>
      </c>
      <c r="Z29" s="136"/>
    </row>
    <row r="30" spans="1:26" s="137" customFormat="1" ht="9" customHeight="1" x14ac:dyDescent="0.3">
      <c r="A30" s="4" t="s">
        <v>14</v>
      </c>
      <c r="B30" s="73" t="s">
        <v>58</v>
      </c>
      <c r="C30" s="73" t="s">
        <v>17</v>
      </c>
      <c r="D30" s="73"/>
      <c r="E30" s="130">
        <v>7</v>
      </c>
      <c r="F30" s="165" t="s">
        <v>90</v>
      </c>
      <c r="G30" s="141">
        <v>104</v>
      </c>
      <c r="H30" s="132">
        <f t="shared" si="1"/>
        <v>1560</v>
      </c>
      <c r="I30" s="131"/>
      <c r="J30" s="133"/>
      <c r="K30" s="133"/>
      <c r="L30" s="131">
        <f t="shared" si="2"/>
        <v>2950</v>
      </c>
      <c r="M30" s="133"/>
      <c r="N30" s="133"/>
      <c r="O30" s="132">
        <f t="shared" si="0"/>
        <v>4510</v>
      </c>
      <c r="P30" s="139">
        <v>435.7</v>
      </c>
      <c r="Q30" s="133"/>
      <c r="R30" s="141"/>
      <c r="S30" s="141"/>
      <c r="T30" s="133"/>
      <c r="U30" s="133"/>
      <c r="V30" s="132">
        <f t="shared" si="3"/>
        <v>435.7</v>
      </c>
      <c r="W30" s="135">
        <f t="shared" si="4"/>
        <v>4074.3</v>
      </c>
      <c r="X30" s="133">
        <v>100</v>
      </c>
      <c r="Y30" s="133">
        <f>19*150</f>
        <v>2850</v>
      </c>
      <c r="Z30" s="136"/>
    </row>
    <row r="31" spans="1:26" s="137" customFormat="1" ht="9" customHeight="1" x14ac:dyDescent="0.3">
      <c r="A31" s="4" t="s">
        <v>14</v>
      </c>
      <c r="B31" s="73" t="s">
        <v>58</v>
      </c>
      <c r="C31" s="73" t="s">
        <v>17</v>
      </c>
      <c r="D31" s="73"/>
      <c r="E31" s="130">
        <v>8</v>
      </c>
      <c r="F31" s="165" t="s">
        <v>91</v>
      </c>
      <c r="G31" s="141">
        <v>104</v>
      </c>
      <c r="H31" s="132">
        <f t="shared" si="1"/>
        <v>1560</v>
      </c>
      <c r="I31" s="131"/>
      <c r="K31" s="133"/>
      <c r="L31" s="131">
        <f t="shared" si="2"/>
        <v>1750</v>
      </c>
      <c r="M31" s="133"/>
      <c r="N31" s="133"/>
      <c r="O31" s="132">
        <f t="shared" si="0"/>
        <v>3310</v>
      </c>
      <c r="P31" s="139">
        <v>256.04000000000002</v>
      </c>
      <c r="Q31" s="133">
        <v>500</v>
      </c>
      <c r="R31" s="141"/>
      <c r="S31" s="141"/>
      <c r="T31" s="133"/>
      <c r="U31" s="133"/>
      <c r="V31" s="132">
        <f t="shared" si="3"/>
        <v>756.04</v>
      </c>
      <c r="W31" s="135">
        <f t="shared" si="4"/>
        <v>2553.96</v>
      </c>
      <c r="X31" s="133">
        <v>100</v>
      </c>
      <c r="Y31" s="133">
        <f>11*150</f>
        <v>1650</v>
      </c>
      <c r="Z31" s="136"/>
    </row>
    <row r="32" spans="1:26" s="137" customFormat="1" ht="9" customHeight="1" x14ac:dyDescent="0.3">
      <c r="A32" s="4" t="s">
        <v>14</v>
      </c>
      <c r="B32" s="73" t="s">
        <v>58</v>
      </c>
      <c r="C32" s="73" t="s">
        <v>17</v>
      </c>
      <c r="D32" s="73"/>
      <c r="E32" s="130">
        <v>9</v>
      </c>
      <c r="F32" s="139" t="s">
        <v>92</v>
      </c>
      <c r="G32" s="133">
        <v>104</v>
      </c>
      <c r="H32" s="132">
        <f t="shared" si="1"/>
        <v>1560</v>
      </c>
      <c r="I32" s="131"/>
      <c r="J32" s="139"/>
      <c r="K32" s="139"/>
      <c r="L32" s="131">
        <f t="shared" si="2"/>
        <v>2200</v>
      </c>
      <c r="M32" s="133"/>
      <c r="N32" s="139"/>
      <c r="O32" s="132">
        <f t="shared" si="0"/>
        <v>3760</v>
      </c>
      <c r="P32" s="133">
        <v>310.69</v>
      </c>
      <c r="Q32" s="139"/>
      <c r="R32" s="156"/>
      <c r="S32" s="156"/>
      <c r="T32" s="139"/>
      <c r="U32" s="139"/>
      <c r="V32" s="132">
        <f t="shared" si="3"/>
        <v>310.69</v>
      </c>
      <c r="W32" s="135">
        <f t="shared" si="4"/>
        <v>3449.31</v>
      </c>
      <c r="X32" s="133">
        <v>100</v>
      </c>
      <c r="Y32" s="4">
        <f>14*150</f>
        <v>2100</v>
      </c>
      <c r="Z32" s="136"/>
    </row>
    <row r="33" spans="1:26" s="137" customFormat="1" ht="9" customHeight="1" x14ac:dyDescent="0.3">
      <c r="A33" s="4" t="s">
        <v>14</v>
      </c>
      <c r="B33" s="73" t="s">
        <v>58</v>
      </c>
      <c r="C33" s="73" t="s">
        <v>78</v>
      </c>
      <c r="D33" s="73"/>
      <c r="E33" s="130">
        <v>10</v>
      </c>
      <c r="F33" s="133" t="s">
        <v>93</v>
      </c>
      <c r="G33" s="133">
        <v>150</v>
      </c>
      <c r="H33" s="132">
        <f t="shared" si="1"/>
        <v>2250</v>
      </c>
      <c r="I33" s="131"/>
      <c r="J33" s="133"/>
      <c r="K33" s="133"/>
      <c r="L33" s="131">
        <f t="shared" si="2"/>
        <v>900</v>
      </c>
      <c r="M33" s="133"/>
      <c r="N33" s="139"/>
      <c r="O33" s="132">
        <f t="shared" si="0"/>
        <v>3150</v>
      </c>
      <c r="P33" s="133">
        <v>238.64</v>
      </c>
      <c r="Q33" s="139">
        <v>500</v>
      </c>
      <c r="R33" s="156"/>
      <c r="S33" s="156"/>
      <c r="T33" s="139"/>
      <c r="U33" s="139"/>
      <c r="V33" s="132">
        <f t="shared" si="3"/>
        <v>738.64</v>
      </c>
      <c r="W33" s="135">
        <f t="shared" si="4"/>
        <v>2411.36</v>
      </c>
      <c r="X33" s="133">
        <v>400</v>
      </c>
      <c r="Y33" s="4">
        <v>500</v>
      </c>
      <c r="Z33" s="136"/>
    </row>
    <row r="34" spans="1:26" s="137" customFormat="1" ht="9" customHeight="1" x14ac:dyDescent="0.3">
      <c r="A34" s="4" t="s">
        <v>14</v>
      </c>
      <c r="B34" s="73" t="s">
        <v>58</v>
      </c>
      <c r="C34" s="73"/>
      <c r="D34" s="73"/>
      <c r="E34" s="148">
        <v>11</v>
      </c>
      <c r="F34" s="149" t="s">
        <v>133</v>
      </c>
      <c r="G34" s="132">
        <v>104</v>
      </c>
      <c r="H34" s="132">
        <f>G34*15</f>
        <v>1560</v>
      </c>
      <c r="I34" s="131"/>
      <c r="J34" s="133"/>
      <c r="K34" s="133"/>
      <c r="L34" s="131">
        <f t="shared" si="2"/>
        <v>1300</v>
      </c>
      <c r="M34" s="132"/>
      <c r="N34" s="139"/>
      <c r="O34" s="132">
        <f t="shared" si="0"/>
        <v>2860</v>
      </c>
      <c r="P34" s="132">
        <v>207.08</v>
      </c>
      <c r="Q34" s="131"/>
      <c r="R34" s="134"/>
      <c r="S34" s="134"/>
      <c r="T34" s="131"/>
      <c r="U34" s="139"/>
      <c r="V34" s="132">
        <f t="shared" si="3"/>
        <v>207.08</v>
      </c>
      <c r="W34" s="135">
        <f t="shared" si="4"/>
        <v>2652.92</v>
      </c>
      <c r="X34" s="133">
        <v>100</v>
      </c>
      <c r="Y34" s="4">
        <f>8*150</f>
        <v>1200</v>
      </c>
      <c r="Z34" s="136"/>
    </row>
    <row r="35" spans="1:26" s="137" customFormat="1" ht="9" customHeight="1" x14ac:dyDescent="0.3">
      <c r="A35" s="4" t="s">
        <v>14</v>
      </c>
      <c r="B35" s="73" t="s">
        <v>58</v>
      </c>
      <c r="C35" s="73"/>
      <c r="D35" s="73"/>
      <c r="E35" s="148">
        <v>12</v>
      </c>
      <c r="F35" s="149" t="s">
        <v>134</v>
      </c>
      <c r="G35" s="150">
        <v>104</v>
      </c>
      <c r="H35" s="132">
        <f t="shared" si="1"/>
        <v>1560</v>
      </c>
      <c r="I35" s="131"/>
      <c r="J35" s="149"/>
      <c r="K35" s="149"/>
      <c r="L35" s="131">
        <f t="shared" si="2"/>
        <v>1150</v>
      </c>
      <c r="M35" s="150"/>
      <c r="N35" s="149"/>
      <c r="O35" s="132">
        <f t="shared" si="0"/>
        <v>2710</v>
      </c>
      <c r="P35" s="150">
        <v>190.76</v>
      </c>
      <c r="Q35" s="150">
        <v>500</v>
      </c>
      <c r="R35" s="162"/>
      <c r="S35" s="162"/>
      <c r="T35" s="150"/>
      <c r="U35" s="149"/>
      <c r="V35" s="132">
        <f t="shared" si="3"/>
        <v>690.76</v>
      </c>
      <c r="W35" s="135">
        <f t="shared" si="4"/>
        <v>2019.24</v>
      </c>
      <c r="X35" s="149">
        <v>100</v>
      </c>
      <c r="Y35" s="4">
        <f>7*150</f>
        <v>1050</v>
      </c>
      <c r="Z35" s="136"/>
    </row>
    <row r="36" spans="1:26" s="137" customFormat="1" ht="9" customHeight="1" x14ac:dyDescent="0.3">
      <c r="A36" s="4" t="s">
        <v>14</v>
      </c>
      <c r="B36" s="73" t="s">
        <v>58</v>
      </c>
      <c r="C36" s="73"/>
      <c r="D36" s="73"/>
      <c r="E36" s="148">
        <v>13</v>
      </c>
      <c r="F36" s="149" t="s">
        <v>233</v>
      </c>
      <c r="G36" s="150">
        <v>104</v>
      </c>
      <c r="H36" s="132">
        <f t="shared" si="1"/>
        <v>1560</v>
      </c>
      <c r="I36" s="131"/>
      <c r="J36" s="149">
        <f>G36*3</f>
        <v>312</v>
      </c>
      <c r="K36" s="149"/>
      <c r="L36" s="131">
        <f t="shared" si="2"/>
        <v>850</v>
      </c>
      <c r="M36" s="150"/>
      <c r="N36" s="149"/>
      <c r="O36" s="132">
        <f t="shared" si="0"/>
        <v>2722</v>
      </c>
      <c r="P36" s="150">
        <v>192.07</v>
      </c>
      <c r="Q36" s="150">
        <v>500</v>
      </c>
      <c r="R36" s="162"/>
      <c r="S36" s="162"/>
      <c r="T36" s="150"/>
      <c r="U36" s="149"/>
      <c r="V36" s="132">
        <f t="shared" si="3"/>
        <v>692.06999999999994</v>
      </c>
      <c r="W36" s="135">
        <f t="shared" si="4"/>
        <v>2029.93</v>
      </c>
      <c r="X36" s="149">
        <v>100</v>
      </c>
      <c r="Y36" s="139">
        <f>5*150</f>
        <v>750</v>
      </c>
      <c r="Z36" s="136"/>
    </row>
    <row r="37" spans="1:26" s="137" customFormat="1" ht="9" customHeight="1" x14ac:dyDescent="0.25">
      <c r="A37" s="4" t="s">
        <v>94</v>
      </c>
      <c r="B37" s="73" t="s">
        <v>58</v>
      </c>
      <c r="C37" s="73" t="s">
        <v>95</v>
      </c>
      <c r="D37" s="73"/>
      <c r="E37" s="130">
        <v>1</v>
      </c>
      <c r="F37" s="166" t="s">
        <v>96</v>
      </c>
      <c r="G37" s="166">
        <v>194.12639999999999</v>
      </c>
      <c r="H37" s="132">
        <f t="shared" si="1"/>
        <v>2911.8959999999997</v>
      </c>
      <c r="I37" s="131"/>
      <c r="J37" s="166"/>
      <c r="K37" s="166"/>
      <c r="L37" s="131">
        <f t="shared" si="2"/>
        <v>332.39</v>
      </c>
      <c r="M37" s="167"/>
      <c r="N37" s="167"/>
      <c r="O37" s="132">
        <f t="shared" si="0"/>
        <v>3244.2859999999996</v>
      </c>
      <c r="P37" s="131">
        <v>248.9</v>
      </c>
      <c r="Q37" s="166"/>
      <c r="R37" s="168">
        <v>50</v>
      </c>
      <c r="S37" s="168"/>
      <c r="T37" s="166"/>
      <c r="U37" s="166"/>
      <c r="V37" s="132">
        <f t="shared" si="3"/>
        <v>298.89999999999998</v>
      </c>
      <c r="W37" s="135">
        <f t="shared" si="4"/>
        <v>2945.3859999999995</v>
      </c>
      <c r="X37" s="166">
        <v>332.39</v>
      </c>
      <c r="Y37" s="131"/>
      <c r="Z37" s="136"/>
    </row>
    <row r="38" spans="1:26" s="137" customFormat="1" ht="9" customHeight="1" x14ac:dyDescent="0.3">
      <c r="A38" s="4" t="s">
        <v>94</v>
      </c>
      <c r="B38" s="73" t="s">
        <v>67</v>
      </c>
      <c r="C38" s="73" t="s">
        <v>97</v>
      </c>
      <c r="D38" s="73"/>
      <c r="E38" s="130">
        <v>2</v>
      </c>
      <c r="F38" s="139" t="s">
        <v>98</v>
      </c>
      <c r="G38" s="139">
        <v>1109.3399999999999</v>
      </c>
      <c r="H38" s="132">
        <f t="shared" si="1"/>
        <v>16640.099999999999</v>
      </c>
      <c r="I38" s="131"/>
      <c r="J38" s="139"/>
      <c r="K38" s="139"/>
      <c r="L38" s="131">
        <f t="shared" si="2"/>
        <v>0</v>
      </c>
      <c r="M38" s="139"/>
      <c r="N38" s="139"/>
      <c r="O38" s="132">
        <f t="shared" si="0"/>
        <v>16640.099999999999</v>
      </c>
      <c r="P38" s="139">
        <v>3176.71</v>
      </c>
      <c r="Q38" s="139"/>
      <c r="R38" s="156"/>
      <c r="S38" s="156"/>
      <c r="T38" s="139"/>
      <c r="U38" s="139"/>
      <c r="V38" s="132">
        <f t="shared" si="3"/>
        <v>3176.71</v>
      </c>
      <c r="W38" s="135">
        <f t="shared" si="4"/>
        <v>13463.39</v>
      </c>
      <c r="X38" s="139"/>
      <c r="Y38" s="139"/>
      <c r="Z38" s="136"/>
    </row>
    <row r="39" spans="1:26" s="137" customFormat="1" ht="9" customHeight="1" x14ac:dyDescent="0.3">
      <c r="A39" s="4" t="s">
        <v>23</v>
      </c>
      <c r="B39" s="73" t="s">
        <v>58</v>
      </c>
      <c r="C39" s="73" t="s">
        <v>99</v>
      </c>
      <c r="D39" s="73"/>
      <c r="E39" s="130">
        <v>1</v>
      </c>
      <c r="F39" s="133" t="s">
        <v>100</v>
      </c>
      <c r="G39" s="169">
        <v>130</v>
      </c>
      <c r="H39" s="132">
        <f t="shared" si="1"/>
        <v>1950</v>
      </c>
      <c r="I39" s="131"/>
      <c r="J39" s="133">
        <f>G39*4</f>
        <v>520</v>
      </c>
      <c r="K39" s="133"/>
      <c r="L39" s="131">
        <f t="shared" si="2"/>
        <v>818</v>
      </c>
      <c r="M39" s="132"/>
      <c r="N39" s="133"/>
      <c r="O39" s="132">
        <f t="shared" si="0"/>
        <v>3288</v>
      </c>
      <c r="P39" s="139">
        <v>253.65</v>
      </c>
      <c r="Q39" s="133"/>
      <c r="R39" s="141"/>
      <c r="S39" s="141"/>
      <c r="T39" s="133"/>
      <c r="U39" s="133"/>
      <c r="V39" s="132">
        <f t="shared" si="3"/>
        <v>253.65</v>
      </c>
      <c r="W39" s="135">
        <f t="shared" si="4"/>
        <v>3034.35</v>
      </c>
      <c r="X39" s="133">
        <v>818</v>
      </c>
      <c r="Y39" s="133"/>
      <c r="Z39" s="136"/>
    </row>
    <row r="40" spans="1:26" s="137" customFormat="1" ht="9" customHeight="1" x14ac:dyDescent="0.3">
      <c r="A40" s="4" t="s">
        <v>23</v>
      </c>
      <c r="B40" s="73" t="s">
        <v>58</v>
      </c>
      <c r="C40" s="73" t="s">
        <v>17</v>
      </c>
      <c r="D40" s="73"/>
      <c r="E40" s="130">
        <v>2</v>
      </c>
      <c r="F40" s="170" t="s">
        <v>101</v>
      </c>
      <c r="G40" s="169">
        <v>140</v>
      </c>
      <c r="H40" s="132">
        <f t="shared" si="1"/>
        <v>2100</v>
      </c>
      <c r="I40" s="131"/>
      <c r="J40" s="133">
        <f>G40*4</f>
        <v>560</v>
      </c>
      <c r="K40" s="133"/>
      <c r="L40" s="131">
        <f t="shared" si="2"/>
        <v>1060</v>
      </c>
      <c r="M40" s="132"/>
      <c r="N40" s="133"/>
      <c r="O40" s="132">
        <f t="shared" si="0"/>
        <v>3720</v>
      </c>
      <c r="P40" s="139">
        <v>304.29000000000002</v>
      </c>
      <c r="Q40" s="133"/>
      <c r="R40" s="141"/>
      <c r="S40" s="141"/>
      <c r="T40" s="133"/>
      <c r="U40" s="133"/>
      <c r="V40" s="132">
        <f t="shared" si="3"/>
        <v>304.29000000000002</v>
      </c>
      <c r="W40" s="135">
        <f t="shared" si="4"/>
        <v>3415.71</v>
      </c>
      <c r="X40" s="133">
        <v>560</v>
      </c>
      <c r="Y40" s="133">
        <v>500</v>
      </c>
      <c r="Z40" s="136"/>
    </row>
    <row r="41" spans="1:26" s="137" customFormat="1" ht="9" customHeight="1" x14ac:dyDescent="0.25">
      <c r="A41" s="4" t="s">
        <v>23</v>
      </c>
      <c r="B41" s="73" t="s">
        <v>58</v>
      </c>
      <c r="C41" s="73" t="s">
        <v>102</v>
      </c>
      <c r="D41" s="73"/>
      <c r="E41" s="130">
        <v>3</v>
      </c>
      <c r="F41" s="165" t="s">
        <v>103</v>
      </c>
      <c r="G41" s="158">
        <v>547.05999999999995</v>
      </c>
      <c r="H41" s="132">
        <f t="shared" si="1"/>
        <v>8205.9</v>
      </c>
      <c r="I41" s="131"/>
      <c r="J41" s="133"/>
      <c r="K41" s="133"/>
      <c r="L41" s="131">
        <f t="shared" si="2"/>
        <v>0</v>
      </c>
      <c r="M41" s="132"/>
      <c r="N41" s="133">
        <v>0</v>
      </c>
      <c r="O41" s="132">
        <f t="shared" si="0"/>
        <v>8205.9</v>
      </c>
      <c r="P41" s="139">
        <v>1205.5899999999999</v>
      </c>
      <c r="Q41" s="133"/>
      <c r="R41" s="141"/>
      <c r="S41" s="141"/>
      <c r="T41" s="133"/>
      <c r="U41" s="133"/>
      <c r="V41" s="132">
        <f t="shared" si="3"/>
        <v>1205.5899999999999</v>
      </c>
      <c r="W41" s="135">
        <f t="shared" si="4"/>
        <v>7000.3099999999995</v>
      </c>
      <c r="X41" s="133"/>
      <c r="Y41" s="133"/>
      <c r="Z41" s="136"/>
    </row>
    <row r="42" spans="1:26" s="137" customFormat="1" ht="9" customHeight="1" x14ac:dyDescent="0.3">
      <c r="A42" s="4" t="s">
        <v>24</v>
      </c>
      <c r="B42" s="73" t="s">
        <v>58</v>
      </c>
      <c r="C42" s="73" t="s">
        <v>25</v>
      </c>
      <c r="D42" s="73"/>
      <c r="E42" s="130">
        <v>1</v>
      </c>
      <c r="F42" s="132" t="s">
        <v>104</v>
      </c>
      <c r="G42" s="132">
        <v>104</v>
      </c>
      <c r="H42" s="132">
        <f t="shared" si="1"/>
        <v>1560</v>
      </c>
      <c r="I42" s="131"/>
      <c r="J42" s="133">
        <f>G42</f>
        <v>104</v>
      </c>
      <c r="K42" s="132"/>
      <c r="L42" s="131">
        <f t="shared" si="2"/>
        <v>100</v>
      </c>
      <c r="M42" s="132"/>
      <c r="N42" s="132">
        <v>0</v>
      </c>
      <c r="O42" s="132">
        <f t="shared" si="0"/>
        <v>1764</v>
      </c>
      <c r="P42" s="131">
        <v>101.88</v>
      </c>
      <c r="Q42" s="171"/>
      <c r="R42" s="153"/>
      <c r="S42" s="153"/>
      <c r="T42" s="132">
        <v>0</v>
      </c>
      <c r="U42" s="132"/>
      <c r="V42" s="132">
        <f t="shared" si="3"/>
        <v>101.88</v>
      </c>
      <c r="W42" s="135">
        <f t="shared" si="4"/>
        <v>1662.12</v>
      </c>
      <c r="X42" s="132">
        <v>100</v>
      </c>
      <c r="Y42" s="132"/>
      <c r="Z42" s="136"/>
    </row>
    <row r="43" spans="1:26" s="137" customFormat="1" ht="9" customHeight="1" x14ac:dyDescent="0.3">
      <c r="A43" s="4" t="s">
        <v>24</v>
      </c>
      <c r="B43" s="73" t="s">
        <v>58</v>
      </c>
      <c r="C43" s="73" t="s">
        <v>45</v>
      </c>
      <c r="D43" s="73"/>
      <c r="E43" s="130">
        <v>2</v>
      </c>
      <c r="F43" s="131" t="s">
        <v>105</v>
      </c>
      <c r="G43" s="131">
        <v>207.5</v>
      </c>
      <c r="H43" s="132">
        <f t="shared" si="1"/>
        <v>3112.5</v>
      </c>
      <c r="I43" s="131"/>
      <c r="J43" s="133">
        <f>G43*5</f>
        <v>1037.5</v>
      </c>
      <c r="K43" s="132"/>
      <c r="L43" s="131">
        <f t="shared" si="2"/>
        <v>1100</v>
      </c>
      <c r="M43" s="132"/>
      <c r="N43" s="132"/>
      <c r="O43" s="132">
        <f t="shared" si="0"/>
        <v>5250</v>
      </c>
      <c r="P43" s="131">
        <v>574.21</v>
      </c>
      <c r="Q43" s="171">
        <v>1500</v>
      </c>
      <c r="R43" s="134"/>
      <c r="S43" s="134"/>
      <c r="T43" s="131">
        <v>0</v>
      </c>
      <c r="U43" s="172"/>
      <c r="V43" s="132">
        <f t="shared" si="3"/>
        <v>2074.21</v>
      </c>
      <c r="W43" s="135">
        <f t="shared" si="4"/>
        <v>3175.79</v>
      </c>
      <c r="X43" s="131">
        <v>600</v>
      </c>
      <c r="Y43" s="131">
        <v>500</v>
      </c>
      <c r="Z43" s="136"/>
    </row>
    <row r="44" spans="1:26" s="137" customFormat="1" ht="9" customHeight="1" x14ac:dyDescent="0.25">
      <c r="A44" s="4" t="s">
        <v>24</v>
      </c>
      <c r="B44" s="73" t="s">
        <v>58</v>
      </c>
      <c r="C44" s="73" t="s">
        <v>25</v>
      </c>
      <c r="D44" s="73"/>
      <c r="E44" s="130">
        <v>3</v>
      </c>
      <c r="F44" s="131" t="s">
        <v>106</v>
      </c>
      <c r="G44" s="131">
        <v>100.017</v>
      </c>
      <c r="H44" s="132">
        <f t="shared" si="1"/>
        <v>1500.2549999999999</v>
      </c>
      <c r="I44" s="131"/>
      <c r="J44" s="133">
        <f>G44</f>
        <v>100.017</v>
      </c>
      <c r="K44" s="132"/>
      <c r="L44" s="131">
        <f t="shared" si="2"/>
        <v>100</v>
      </c>
      <c r="M44" s="132"/>
      <c r="N44" s="132"/>
      <c r="O44" s="132">
        <f t="shared" si="0"/>
        <v>1700.2719999999999</v>
      </c>
      <c r="P44" s="131">
        <v>97.8</v>
      </c>
      <c r="Q44" s="132"/>
      <c r="R44" s="134"/>
      <c r="S44" s="134"/>
      <c r="T44" s="131"/>
      <c r="U44" s="131"/>
      <c r="V44" s="132">
        <f t="shared" si="3"/>
        <v>97.8</v>
      </c>
      <c r="W44" s="135">
        <f t="shared" si="4"/>
        <v>1602.472</v>
      </c>
      <c r="X44" s="131">
        <v>100</v>
      </c>
      <c r="Y44" s="131"/>
      <c r="Z44" s="136"/>
    </row>
    <row r="45" spans="1:26" s="137" customFormat="1" ht="9" customHeight="1" x14ac:dyDescent="0.25">
      <c r="A45" s="4" t="s">
        <v>24</v>
      </c>
      <c r="B45" s="73" t="s">
        <v>58</v>
      </c>
      <c r="C45" s="73" t="s">
        <v>25</v>
      </c>
      <c r="D45" s="73"/>
      <c r="E45" s="130">
        <v>4</v>
      </c>
      <c r="F45" s="133" t="s">
        <v>107</v>
      </c>
      <c r="G45" s="133">
        <v>138.68</v>
      </c>
      <c r="H45" s="132">
        <f t="shared" si="1"/>
        <v>2080.2000000000003</v>
      </c>
      <c r="I45" s="131"/>
      <c r="J45" s="133"/>
      <c r="K45" s="132"/>
      <c r="L45" s="131">
        <f t="shared" si="2"/>
        <v>140</v>
      </c>
      <c r="M45" s="132"/>
      <c r="N45" s="132">
        <v>0</v>
      </c>
      <c r="O45" s="132">
        <f t="shared" si="0"/>
        <v>2220.2000000000003</v>
      </c>
      <c r="P45" s="131">
        <v>137.47</v>
      </c>
      <c r="Q45" s="133"/>
      <c r="R45" s="141"/>
      <c r="S45" s="141"/>
      <c r="T45" s="133"/>
      <c r="U45" s="133"/>
      <c r="V45" s="132">
        <f t="shared" si="3"/>
        <v>137.47</v>
      </c>
      <c r="W45" s="135">
        <f t="shared" si="4"/>
        <v>2082.7300000000005</v>
      </c>
      <c r="X45" s="133">
        <v>140</v>
      </c>
      <c r="Y45" s="133"/>
      <c r="Z45" s="136"/>
    </row>
    <row r="46" spans="1:26" s="137" customFormat="1" ht="9" customHeight="1" x14ac:dyDescent="0.25">
      <c r="A46" s="4" t="s">
        <v>24</v>
      </c>
      <c r="B46" s="73" t="s">
        <v>58</v>
      </c>
      <c r="C46" s="73" t="s">
        <v>25</v>
      </c>
      <c r="D46" s="73"/>
      <c r="E46" s="130">
        <v>5</v>
      </c>
      <c r="F46" s="133" t="s">
        <v>108</v>
      </c>
      <c r="G46" s="133">
        <v>138.68</v>
      </c>
      <c r="H46" s="132">
        <f t="shared" si="1"/>
        <v>2080.2000000000003</v>
      </c>
      <c r="I46" s="131"/>
      <c r="J46" s="133"/>
      <c r="K46" s="132"/>
      <c r="L46" s="131">
        <f t="shared" si="2"/>
        <v>140</v>
      </c>
      <c r="M46" s="132"/>
      <c r="N46" s="132">
        <v>0</v>
      </c>
      <c r="O46" s="132">
        <f t="shared" si="0"/>
        <v>2220.2000000000003</v>
      </c>
      <c r="P46" s="131">
        <v>137.47</v>
      </c>
      <c r="Q46" s="133"/>
      <c r="R46" s="141"/>
      <c r="S46" s="141"/>
      <c r="T46" s="133"/>
      <c r="U46" s="133"/>
      <c r="V46" s="132">
        <f t="shared" si="3"/>
        <v>137.47</v>
      </c>
      <c r="W46" s="135">
        <f t="shared" si="4"/>
        <v>2082.7300000000005</v>
      </c>
      <c r="X46" s="133">
        <v>140</v>
      </c>
      <c r="Y46" s="133"/>
      <c r="Z46" s="136"/>
    </row>
    <row r="47" spans="1:26" s="137" customFormat="1" ht="9" customHeight="1" x14ac:dyDescent="0.25">
      <c r="A47" s="4" t="s">
        <v>24</v>
      </c>
      <c r="B47" s="73" t="s">
        <v>58</v>
      </c>
      <c r="C47" s="73" t="s">
        <v>45</v>
      </c>
      <c r="D47" s="73"/>
      <c r="E47" s="130">
        <v>6</v>
      </c>
      <c r="F47" s="131" t="s">
        <v>109</v>
      </c>
      <c r="G47" s="131">
        <v>255</v>
      </c>
      <c r="H47" s="132">
        <f t="shared" si="1"/>
        <v>3825</v>
      </c>
      <c r="I47" s="131"/>
      <c r="J47" s="133"/>
      <c r="K47" s="132"/>
      <c r="L47" s="131">
        <f t="shared" si="2"/>
        <v>1100</v>
      </c>
      <c r="M47" s="132"/>
      <c r="N47" s="132"/>
      <c r="O47" s="132">
        <f t="shared" si="0"/>
        <v>4925</v>
      </c>
      <c r="P47" s="131">
        <v>510.07</v>
      </c>
      <c r="Q47" s="131"/>
      <c r="R47" s="134"/>
      <c r="S47" s="134"/>
      <c r="T47" s="131"/>
      <c r="U47" s="131"/>
      <c r="V47" s="132">
        <f t="shared" si="3"/>
        <v>510.07</v>
      </c>
      <c r="W47" s="135">
        <f t="shared" si="4"/>
        <v>4414.93</v>
      </c>
      <c r="X47" s="131">
        <v>600</v>
      </c>
      <c r="Y47" s="131">
        <v>500</v>
      </c>
      <c r="Z47" s="136"/>
    </row>
    <row r="48" spans="1:26" s="137" customFormat="1" ht="9" customHeight="1" x14ac:dyDescent="0.25">
      <c r="A48" s="4" t="s">
        <v>24</v>
      </c>
      <c r="B48" s="73" t="s">
        <v>58</v>
      </c>
      <c r="C48" s="73" t="s">
        <v>110</v>
      </c>
      <c r="D48" s="73"/>
      <c r="E48" s="130">
        <v>7</v>
      </c>
      <c r="F48" s="133" t="s">
        <v>111</v>
      </c>
      <c r="G48" s="133">
        <v>179.92000000000002</v>
      </c>
      <c r="H48" s="132">
        <f t="shared" si="1"/>
        <v>2698.8</v>
      </c>
      <c r="I48" s="131"/>
      <c r="J48" s="133">
        <f>G48*4</f>
        <v>719.68000000000006</v>
      </c>
      <c r="K48" s="131">
        <f>G48*1.5</f>
        <v>269.88</v>
      </c>
      <c r="L48" s="131">
        <f t="shared" si="2"/>
        <v>145</v>
      </c>
      <c r="M48" s="132"/>
      <c r="N48" s="132">
        <v>0</v>
      </c>
      <c r="O48" s="132">
        <f t="shared" si="0"/>
        <v>3833.3600000000006</v>
      </c>
      <c r="P48" s="131">
        <v>322.43</v>
      </c>
      <c r="Q48" s="133">
        <v>500</v>
      </c>
      <c r="R48" s="141">
        <v>48.76</v>
      </c>
      <c r="S48" s="141"/>
      <c r="T48" s="133"/>
      <c r="U48" s="133"/>
      <c r="V48" s="132">
        <f t="shared" si="3"/>
        <v>871.19</v>
      </c>
      <c r="W48" s="135">
        <f t="shared" si="4"/>
        <v>2962.1700000000005</v>
      </c>
      <c r="X48" s="133">
        <v>145</v>
      </c>
      <c r="Y48" s="133"/>
      <c r="Z48" s="136"/>
    </row>
    <row r="49" spans="1:26" s="137" customFormat="1" ht="9" customHeight="1" x14ac:dyDescent="0.25">
      <c r="A49" s="4" t="s">
        <v>24</v>
      </c>
      <c r="B49" s="73" t="s">
        <v>58</v>
      </c>
      <c r="C49" s="73" t="s">
        <v>112</v>
      </c>
      <c r="D49" s="73"/>
      <c r="E49" s="130">
        <v>8</v>
      </c>
      <c r="F49" s="133" t="s">
        <v>113</v>
      </c>
      <c r="G49" s="132">
        <v>173.34</v>
      </c>
      <c r="H49" s="132">
        <f t="shared" si="1"/>
        <v>2600.1</v>
      </c>
      <c r="I49" s="131"/>
      <c r="J49" s="133">
        <f>G49</f>
        <v>173.34</v>
      </c>
      <c r="K49" s="131"/>
      <c r="L49" s="131">
        <f t="shared" si="2"/>
        <v>1700</v>
      </c>
      <c r="M49" s="132"/>
      <c r="N49" s="132">
        <v>0</v>
      </c>
      <c r="O49" s="132">
        <f t="shared" si="0"/>
        <v>4473.4400000000005</v>
      </c>
      <c r="P49" s="131">
        <v>429.15</v>
      </c>
      <c r="Q49" s="133"/>
      <c r="R49" s="141"/>
      <c r="S49" s="141"/>
      <c r="T49" s="133"/>
      <c r="U49" s="133"/>
      <c r="V49" s="132">
        <f t="shared" si="3"/>
        <v>429.15</v>
      </c>
      <c r="W49" s="135">
        <f t="shared" si="4"/>
        <v>4044.2900000000004</v>
      </c>
      <c r="X49" s="133">
        <v>1700</v>
      </c>
      <c r="Y49" s="133"/>
      <c r="Z49" s="136"/>
    </row>
    <row r="50" spans="1:26" s="137" customFormat="1" ht="9" customHeight="1" x14ac:dyDescent="0.25">
      <c r="A50" s="4" t="s">
        <v>24</v>
      </c>
      <c r="B50" s="73" t="s">
        <v>58</v>
      </c>
      <c r="C50" s="73" t="s">
        <v>50</v>
      </c>
      <c r="D50" s="73"/>
      <c r="E50" s="130">
        <v>9</v>
      </c>
      <c r="F50" s="133" t="s">
        <v>114</v>
      </c>
      <c r="G50" s="133">
        <v>124.80000000000001</v>
      </c>
      <c r="H50" s="132">
        <f t="shared" si="1"/>
        <v>1872.0000000000002</v>
      </c>
      <c r="I50" s="131"/>
      <c r="J50" s="133"/>
      <c r="K50" s="131"/>
      <c r="L50" s="131">
        <f t="shared" si="2"/>
        <v>120</v>
      </c>
      <c r="M50" s="133"/>
      <c r="N50" s="133"/>
      <c r="O50" s="132">
        <f t="shared" si="0"/>
        <v>1992.0000000000002</v>
      </c>
      <c r="P50" s="139">
        <v>116.47</v>
      </c>
      <c r="Q50" s="133"/>
      <c r="R50" s="141"/>
      <c r="S50" s="141"/>
      <c r="T50" s="133"/>
      <c r="U50" s="133"/>
      <c r="V50" s="132">
        <f t="shared" si="3"/>
        <v>116.47</v>
      </c>
      <c r="W50" s="135">
        <f t="shared" si="4"/>
        <v>1875.5300000000002</v>
      </c>
      <c r="X50" s="133">
        <v>120</v>
      </c>
      <c r="Y50" s="133"/>
      <c r="Z50" s="136"/>
    </row>
    <row r="51" spans="1:26" s="137" customFormat="1" ht="9" customHeight="1" x14ac:dyDescent="0.25">
      <c r="A51" s="4" t="s">
        <v>24</v>
      </c>
      <c r="B51" s="73" t="s">
        <v>58</v>
      </c>
      <c r="C51" s="73" t="s">
        <v>115</v>
      </c>
      <c r="D51" s="73"/>
      <c r="E51" s="130">
        <v>10</v>
      </c>
      <c r="F51" s="133" t="s">
        <v>116</v>
      </c>
      <c r="G51" s="133">
        <v>200</v>
      </c>
      <c r="H51" s="132">
        <f t="shared" si="1"/>
        <v>3000</v>
      </c>
      <c r="I51" s="131"/>
      <c r="J51" s="133">
        <f>G51</f>
        <v>200</v>
      </c>
      <c r="K51" s="131"/>
      <c r="L51" s="131">
        <f t="shared" si="2"/>
        <v>1700</v>
      </c>
      <c r="M51" s="133"/>
      <c r="N51" s="133">
        <v>0</v>
      </c>
      <c r="O51" s="132">
        <f t="shared" si="0"/>
        <v>4900</v>
      </c>
      <c r="P51" s="139">
        <v>505.59</v>
      </c>
      <c r="Q51" s="139"/>
      <c r="R51" s="139"/>
      <c r="S51" s="139">
        <v>1656.84</v>
      </c>
      <c r="T51" s="139"/>
      <c r="U51" s="133"/>
      <c r="V51" s="132">
        <f t="shared" si="3"/>
        <v>2162.4299999999998</v>
      </c>
      <c r="W51" s="135">
        <f t="shared" si="4"/>
        <v>2737.57</v>
      </c>
      <c r="X51" s="133">
        <v>1700</v>
      </c>
      <c r="Y51" s="133"/>
      <c r="Z51" s="136"/>
    </row>
    <row r="52" spans="1:26" s="137" customFormat="1" ht="9" customHeight="1" x14ac:dyDescent="0.25">
      <c r="A52" s="4" t="s">
        <v>24</v>
      </c>
      <c r="B52" s="73" t="s">
        <v>58</v>
      </c>
      <c r="C52" s="73" t="s">
        <v>25</v>
      </c>
      <c r="D52" s="73"/>
      <c r="E52" s="130">
        <v>11</v>
      </c>
      <c r="F52" s="163" t="s">
        <v>117</v>
      </c>
      <c r="G52" s="141">
        <v>113.34</v>
      </c>
      <c r="H52" s="132">
        <f t="shared" si="1"/>
        <v>1700.1000000000001</v>
      </c>
      <c r="I52" s="131"/>
      <c r="J52" s="133">
        <f>G52</f>
        <v>113.34</v>
      </c>
      <c r="K52" s="131"/>
      <c r="L52" s="131">
        <f>Y52+X52</f>
        <v>893.38000000000011</v>
      </c>
      <c r="M52" s="133"/>
      <c r="N52" s="133"/>
      <c r="O52" s="132">
        <f t="shared" si="0"/>
        <v>2706.82</v>
      </c>
      <c r="P52" s="139">
        <v>190.42</v>
      </c>
      <c r="Q52" s="133"/>
      <c r="R52" s="141"/>
      <c r="S52" s="141"/>
      <c r="T52" s="133"/>
      <c r="U52" s="133"/>
      <c r="V52" s="132">
        <f t="shared" si="3"/>
        <v>190.42</v>
      </c>
      <c r="W52" s="135">
        <f t="shared" si="4"/>
        <v>2516.4</v>
      </c>
      <c r="X52" s="133">
        <v>893.38000000000011</v>
      </c>
      <c r="Y52" s="133"/>
      <c r="Z52" s="136"/>
    </row>
    <row r="53" spans="1:26" s="137" customFormat="1" ht="9" customHeight="1" x14ac:dyDescent="0.25">
      <c r="A53" s="4" t="s">
        <v>24</v>
      </c>
      <c r="B53" s="73" t="s">
        <v>58</v>
      </c>
      <c r="C53" s="73" t="s">
        <v>25</v>
      </c>
      <c r="D53" s="73"/>
      <c r="E53" s="148">
        <v>12</v>
      </c>
      <c r="F53" s="173" t="s">
        <v>234</v>
      </c>
      <c r="G53" s="149">
        <v>113.34</v>
      </c>
      <c r="H53" s="132">
        <f t="shared" si="1"/>
        <v>1700.1000000000001</v>
      </c>
      <c r="I53" s="131"/>
      <c r="J53" s="149">
        <f>G53</f>
        <v>113.34</v>
      </c>
      <c r="K53" s="131"/>
      <c r="L53" s="131">
        <f t="shared" si="2"/>
        <v>893.38000000000011</v>
      </c>
      <c r="M53" s="149"/>
      <c r="N53" s="149"/>
      <c r="O53" s="132">
        <f t="shared" si="0"/>
        <v>2706.82</v>
      </c>
      <c r="P53" s="139">
        <v>190.42</v>
      </c>
      <c r="Q53" s="149"/>
      <c r="R53" s="151"/>
      <c r="S53" s="151"/>
      <c r="T53" s="149"/>
      <c r="U53" s="149"/>
      <c r="V53" s="132">
        <f t="shared" si="3"/>
        <v>190.42</v>
      </c>
      <c r="W53" s="135">
        <f t="shared" si="4"/>
        <v>2516.4</v>
      </c>
      <c r="X53" s="133">
        <v>893.38000000000011</v>
      </c>
      <c r="Y53" s="133"/>
      <c r="Z53" s="136"/>
    </row>
    <row r="54" spans="1:26" s="137" customFormat="1" ht="9" customHeight="1" x14ac:dyDescent="0.25">
      <c r="A54" s="4" t="s">
        <v>24</v>
      </c>
      <c r="B54" s="73" t="s">
        <v>58</v>
      </c>
      <c r="C54" s="73" t="s">
        <v>25</v>
      </c>
      <c r="D54" s="73"/>
      <c r="E54" s="148">
        <v>13</v>
      </c>
      <c r="F54" s="173" t="s">
        <v>242</v>
      </c>
      <c r="G54" s="149">
        <v>138.68</v>
      </c>
      <c r="H54" s="132">
        <f>G54*15</f>
        <v>2080.2000000000003</v>
      </c>
      <c r="I54" s="131"/>
      <c r="J54" s="149">
        <f>G54*1</f>
        <v>138.68</v>
      </c>
      <c r="K54" s="131"/>
      <c r="L54" s="131">
        <f t="shared" si="2"/>
        <v>0</v>
      </c>
      <c r="M54" s="149"/>
      <c r="N54" s="149"/>
      <c r="O54" s="132">
        <f t="shared" si="0"/>
        <v>2218.88</v>
      </c>
      <c r="P54" s="149">
        <v>137.33000000000001</v>
      </c>
      <c r="Q54" s="149"/>
      <c r="R54" s="151"/>
      <c r="S54" s="151"/>
      <c r="T54" s="149"/>
      <c r="U54" s="149"/>
      <c r="V54" s="132">
        <f t="shared" si="3"/>
        <v>137.33000000000001</v>
      </c>
      <c r="W54" s="135">
        <f t="shared" si="4"/>
        <v>2081.5500000000002</v>
      </c>
      <c r="X54" s="133">
        <v>0</v>
      </c>
      <c r="Y54" s="133"/>
      <c r="Z54" s="136"/>
    </row>
    <row r="55" spans="1:26" ht="9" customHeight="1" x14ac:dyDescent="0.25">
      <c r="A55" s="4" t="s">
        <v>24</v>
      </c>
      <c r="B55" s="73" t="s">
        <v>58</v>
      </c>
      <c r="C55" s="73" t="s">
        <v>25</v>
      </c>
      <c r="D55" s="73"/>
      <c r="E55" s="148">
        <v>14</v>
      </c>
      <c r="F55" s="149" t="s">
        <v>293</v>
      </c>
      <c r="G55" s="132">
        <v>104</v>
      </c>
      <c r="H55" s="132">
        <f>G55*15</f>
        <v>1560</v>
      </c>
      <c r="I55" s="131"/>
      <c r="J55" s="133"/>
      <c r="K55" s="132"/>
      <c r="L55" s="131">
        <f>Y55+X55</f>
        <v>700</v>
      </c>
      <c r="M55" s="132"/>
      <c r="N55" s="132">
        <v>0</v>
      </c>
      <c r="O55" s="132">
        <f>SUM(H55:N55)</f>
        <v>2260</v>
      </c>
      <c r="P55" s="131">
        <v>141.80000000000001</v>
      </c>
      <c r="Q55" s="149"/>
      <c r="R55" s="151"/>
      <c r="S55" s="151"/>
      <c r="T55" s="149"/>
      <c r="U55" s="149"/>
      <c r="V55" s="150">
        <f>SUM(P55:U55)</f>
        <v>141.80000000000001</v>
      </c>
      <c r="W55" s="135">
        <f>O55-V55</f>
        <v>2118.1999999999998</v>
      </c>
      <c r="X55" s="133">
        <v>100</v>
      </c>
      <c r="Y55" s="133">
        <f>4*150</f>
        <v>600</v>
      </c>
    </row>
    <row r="56" spans="1:26" x14ac:dyDescent="0.25">
      <c r="A56" s="4" t="s">
        <v>119</v>
      </c>
      <c r="B56" s="73" t="s">
        <v>58</v>
      </c>
      <c r="C56" s="73" t="s">
        <v>25</v>
      </c>
      <c r="D56" s="73"/>
      <c r="E56" s="175">
        <v>1</v>
      </c>
      <c r="F56" s="133" t="s">
        <v>120</v>
      </c>
      <c r="G56" s="133">
        <v>100.02</v>
      </c>
      <c r="H56" s="133">
        <f>G56*15</f>
        <v>1500.3</v>
      </c>
      <c r="I56" s="133"/>
      <c r="J56" s="133"/>
      <c r="K56" s="133"/>
      <c r="L56" s="139">
        <f t="shared" ref="L56:L67" si="5">X56+Y56</f>
        <v>100</v>
      </c>
      <c r="M56" s="133"/>
      <c r="N56" s="133">
        <f>G56*14*0.25</f>
        <v>350.07</v>
      </c>
      <c r="O56" s="133">
        <f t="shared" ref="O56:O67" si="6">SUM(H56:N56)</f>
        <v>1950.37</v>
      </c>
      <c r="P56" s="133">
        <v>113.81</v>
      </c>
      <c r="Q56" s="133"/>
      <c r="R56" s="141">
        <v>36.06</v>
      </c>
      <c r="S56" s="141"/>
      <c r="T56" s="133"/>
      <c r="U56" s="133"/>
      <c r="V56" s="133">
        <f>SUM(P56:U56)</f>
        <v>149.87</v>
      </c>
      <c r="W56" s="176">
        <f t="shared" ref="W56:W67" si="7">O56-V56</f>
        <v>1800.5</v>
      </c>
      <c r="X56" s="177">
        <v>100</v>
      </c>
      <c r="Y56" s="133">
        <v>0</v>
      </c>
      <c r="Z56"/>
    </row>
    <row r="57" spans="1:26" ht="15.75" thickBot="1" x14ac:dyDescent="0.3">
      <c r="A57" s="184" t="str">
        <f>A56</f>
        <v xml:space="preserve">COYOTE </v>
      </c>
      <c r="B57" s="184"/>
      <c r="C57" s="184"/>
      <c r="D57" s="184"/>
      <c r="E57" s="175">
        <v>2</v>
      </c>
      <c r="F57" s="133" t="s">
        <v>121</v>
      </c>
      <c r="G57" s="133">
        <v>100.02</v>
      </c>
      <c r="H57" s="133">
        <f t="shared" ref="H57:H67" si="8">G57*15</f>
        <v>1500.3</v>
      </c>
      <c r="I57" s="133"/>
      <c r="J57" s="133">
        <f>G57*2</f>
        <v>200.04</v>
      </c>
      <c r="K57" s="140"/>
      <c r="L57" s="139">
        <f t="shared" si="5"/>
        <v>100</v>
      </c>
      <c r="M57" s="133"/>
      <c r="N57" s="133"/>
      <c r="O57" s="133">
        <f t="shared" si="6"/>
        <v>1800.34</v>
      </c>
      <c r="P57" s="133">
        <v>104.2</v>
      </c>
      <c r="Q57" s="133">
        <v>0</v>
      </c>
      <c r="R57" s="141"/>
      <c r="S57" s="141"/>
      <c r="T57" s="133"/>
      <c r="U57" s="133"/>
      <c r="V57" s="133">
        <f t="shared" ref="V57:V67" si="9">SUM(P57:U57)</f>
        <v>104.2</v>
      </c>
      <c r="W57" s="176">
        <f t="shared" si="7"/>
        <v>1696.1399999999999</v>
      </c>
      <c r="X57" s="133">
        <v>100</v>
      </c>
      <c r="Y57" s="133">
        <v>0</v>
      </c>
      <c r="Z57"/>
    </row>
    <row r="58" spans="1:26" ht="15.75" thickTop="1" x14ac:dyDescent="0.25">
      <c r="E58" s="175">
        <v>3</v>
      </c>
      <c r="F58" s="132" t="s">
        <v>122</v>
      </c>
      <c r="G58" s="132">
        <v>100.02</v>
      </c>
      <c r="H58" s="133">
        <f t="shared" si="8"/>
        <v>1500.3</v>
      </c>
      <c r="I58" s="133"/>
      <c r="J58" s="133">
        <f>G58*2</f>
        <v>200.04</v>
      </c>
      <c r="K58" s="140"/>
      <c r="L58" s="139">
        <f t="shared" si="5"/>
        <v>100</v>
      </c>
      <c r="M58" s="132"/>
      <c r="N58" s="133"/>
      <c r="O58" s="133">
        <f t="shared" si="6"/>
        <v>1800.34</v>
      </c>
      <c r="P58" s="133">
        <v>104.2</v>
      </c>
      <c r="Q58" s="133"/>
      <c r="R58" s="141">
        <v>36.06</v>
      </c>
      <c r="S58" s="141"/>
      <c r="T58" s="133"/>
      <c r="U58" s="133"/>
      <c r="V58" s="133">
        <f t="shared" si="9"/>
        <v>140.26</v>
      </c>
      <c r="W58" s="176">
        <f t="shared" si="7"/>
        <v>1660.08</v>
      </c>
      <c r="X58" s="132">
        <v>100</v>
      </c>
      <c r="Y58" s="132">
        <v>0</v>
      </c>
      <c r="Z58"/>
    </row>
    <row r="59" spans="1:26" ht="11.25" customHeight="1" x14ac:dyDescent="0.25">
      <c r="E59" s="175">
        <v>4</v>
      </c>
      <c r="F59" s="132" t="s">
        <v>123</v>
      </c>
      <c r="G59" s="132">
        <v>100.02</v>
      </c>
      <c r="H59" s="133">
        <f t="shared" si="8"/>
        <v>1500.3</v>
      </c>
      <c r="I59" s="133"/>
      <c r="J59" s="133">
        <f>G59*2</f>
        <v>200.04</v>
      </c>
      <c r="K59" s="140"/>
      <c r="L59" s="139">
        <f t="shared" si="5"/>
        <v>100</v>
      </c>
      <c r="M59" s="132"/>
      <c r="N59" s="133"/>
      <c r="O59" s="133">
        <f t="shared" si="6"/>
        <v>1800.34</v>
      </c>
      <c r="P59" s="133">
        <v>104.2</v>
      </c>
      <c r="Q59" s="133"/>
      <c r="R59" s="141">
        <v>36.06</v>
      </c>
      <c r="S59" s="141"/>
      <c r="T59" s="133"/>
      <c r="U59" s="133"/>
      <c r="V59" s="133">
        <f t="shared" si="9"/>
        <v>140.26</v>
      </c>
      <c r="W59" s="176">
        <f t="shared" si="7"/>
        <v>1660.08</v>
      </c>
      <c r="X59" s="132">
        <v>100</v>
      </c>
      <c r="Y59" s="132">
        <v>0</v>
      </c>
      <c r="Z59"/>
    </row>
    <row r="60" spans="1:26" ht="11.25" customHeight="1" x14ac:dyDescent="0.25">
      <c r="A60" s="106"/>
      <c r="B60" s="106"/>
      <c r="C60" s="106"/>
      <c r="D60" s="106"/>
      <c r="E60" s="175">
        <v>5</v>
      </c>
      <c r="F60" s="131" t="s">
        <v>125</v>
      </c>
      <c r="G60" s="131">
        <v>569.58000000000004</v>
      </c>
      <c r="H60" s="133">
        <f t="shared" si="8"/>
        <v>8543.7000000000007</v>
      </c>
      <c r="I60" s="133"/>
      <c r="J60" s="133">
        <f>G60*2</f>
        <v>1139.1600000000001</v>
      </c>
      <c r="K60" s="140"/>
      <c r="L60" s="139">
        <f t="shared" si="5"/>
        <v>1000</v>
      </c>
      <c r="M60" s="131"/>
      <c r="N60" s="133">
        <f>G60*12*0.25</f>
        <v>1708.7400000000002</v>
      </c>
      <c r="O60" s="133">
        <f t="shared" si="6"/>
        <v>12391.6</v>
      </c>
      <c r="P60" s="139">
        <v>2145.8200000000002</v>
      </c>
      <c r="Q60" s="139"/>
      <c r="R60" s="156"/>
      <c r="S60" s="156"/>
      <c r="T60" s="139"/>
      <c r="U60" s="139"/>
      <c r="V60" s="133">
        <f t="shared" si="9"/>
        <v>2145.8200000000002</v>
      </c>
      <c r="W60" s="176">
        <f t="shared" si="7"/>
        <v>10245.780000000001</v>
      </c>
      <c r="X60" s="132">
        <v>1000</v>
      </c>
      <c r="Y60" s="131">
        <v>0</v>
      </c>
      <c r="Z60"/>
    </row>
    <row r="61" spans="1:26" ht="11.25" customHeight="1" x14ac:dyDescent="0.25">
      <c r="E61" s="175">
        <v>6</v>
      </c>
      <c r="F61" s="131" t="s">
        <v>126</v>
      </c>
      <c r="G61" s="131">
        <v>219.71</v>
      </c>
      <c r="H61" s="133">
        <f t="shared" si="8"/>
        <v>3295.65</v>
      </c>
      <c r="I61" s="133"/>
      <c r="J61" s="133">
        <f>G61*2</f>
        <v>439.42</v>
      </c>
      <c r="K61" s="140"/>
      <c r="L61" s="139">
        <f t="shared" si="5"/>
        <v>850</v>
      </c>
      <c r="M61" s="131"/>
      <c r="N61" s="133"/>
      <c r="O61" s="133">
        <f t="shared" si="6"/>
        <v>4585.07</v>
      </c>
      <c r="P61" s="139">
        <v>449.15</v>
      </c>
      <c r="Q61" s="139"/>
      <c r="R61" s="156">
        <v>36.1</v>
      </c>
      <c r="S61" s="156"/>
      <c r="T61" s="139"/>
      <c r="U61" s="139"/>
      <c r="V61" s="133">
        <f t="shared" si="9"/>
        <v>485.25</v>
      </c>
      <c r="W61" s="176">
        <f t="shared" si="7"/>
        <v>4099.82</v>
      </c>
      <c r="X61" s="132">
        <v>850</v>
      </c>
      <c r="Y61" s="131"/>
      <c r="Z61"/>
    </row>
    <row r="62" spans="1:26" ht="11.25" customHeight="1" x14ac:dyDescent="0.25">
      <c r="E62" s="175">
        <v>7</v>
      </c>
      <c r="F62" s="133" t="s">
        <v>127</v>
      </c>
      <c r="G62" s="133">
        <v>100.09</v>
      </c>
      <c r="H62" s="133">
        <f t="shared" si="8"/>
        <v>1501.3500000000001</v>
      </c>
      <c r="I62" s="133"/>
      <c r="J62" s="133"/>
      <c r="K62" s="140"/>
      <c r="L62" s="139">
        <f t="shared" si="5"/>
        <v>100</v>
      </c>
      <c r="M62" s="133"/>
      <c r="N62" s="133"/>
      <c r="O62" s="133">
        <f t="shared" si="6"/>
        <v>1601.3500000000001</v>
      </c>
      <c r="P62" s="139">
        <v>91.47</v>
      </c>
      <c r="Q62" s="133"/>
      <c r="R62" s="141">
        <v>36.1</v>
      </c>
      <c r="S62" s="141"/>
      <c r="T62" s="133"/>
      <c r="U62" s="133"/>
      <c r="V62" s="133">
        <f t="shared" si="9"/>
        <v>127.57</v>
      </c>
      <c r="W62" s="176">
        <f t="shared" si="7"/>
        <v>1473.7800000000002</v>
      </c>
      <c r="X62" s="132">
        <v>100</v>
      </c>
      <c r="Y62" s="135"/>
      <c r="Z62"/>
    </row>
    <row r="63" spans="1:26" ht="11.25" customHeight="1" x14ac:dyDescent="0.25">
      <c r="E63" s="175">
        <v>8</v>
      </c>
      <c r="F63" s="133" t="s">
        <v>128</v>
      </c>
      <c r="G63" s="133">
        <v>124.80000000000001</v>
      </c>
      <c r="H63" s="133">
        <f t="shared" si="8"/>
        <v>1872.0000000000002</v>
      </c>
      <c r="I63" s="133"/>
      <c r="J63" s="133">
        <f>G63*2</f>
        <v>249.60000000000002</v>
      </c>
      <c r="K63" s="140"/>
      <c r="L63" s="139">
        <f t="shared" si="5"/>
        <v>100</v>
      </c>
      <c r="M63" s="133"/>
      <c r="N63" s="133"/>
      <c r="O63" s="133">
        <f t="shared" si="6"/>
        <v>2221.6000000000004</v>
      </c>
      <c r="P63" s="139">
        <v>137.63</v>
      </c>
      <c r="Q63" s="133"/>
      <c r="R63" s="141">
        <v>45</v>
      </c>
      <c r="S63" s="141"/>
      <c r="T63" s="133"/>
      <c r="U63" s="133"/>
      <c r="V63" s="133">
        <f t="shared" si="9"/>
        <v>182.63</v>
      </c>
      <c r="W63" s="176">
        <f t="shared" si="7"/>
        <v>2038.9700000000003</v>
      </c>
      <c r="X63" s="132">
        <v>100</v>
      </c>
      <c r="Y63" s="135"/>
      <c r="Z63"/>
    </row>
    <row r="64" spans="1:26" ht="11.25" customHeight="1" x14ac:dyDescent="0.25">
      <c r="E64" s="175">
        <v>9</v>
      </c>
      <c r="F64" s="132" t="s">
        <v>129</v>
      </c>
      <c r="G64" s="132">
        <v>100.02</v>
      </c>
      <c r="H64" s="133">
        <f t="shared" si="8"/>
        <v>1500.3</v>
      </c>
      <c r="I64" s="133"/>
      <c r="J64" s="133">
        <f>G64*2</f>
        <v>200.04</v>
      </c>
      <c r="K64" s="140"/>
      <c r="L64" s="139">
        <f t="shared" si="5"/>
        <v>100</v>
      </c>
      <c r="M64" s="132"/>
      <c r="N64" s="133"/>
      <c r="O64" s="133">
        <f t="shared" si="6"/>
        <v>1800.34</v>
      </c>
      <c r="P64" s="133">
        <v>104.2</v>
      </c>
      <c r="Q64" s="133"/>
      <c r="R64" s="141"/>
      <c r="S64" s="141"/>
      <c r="T64" s="133"/>
      <c r="U64" s="133"/>
      <c r="V64" s="133">
        <f t="shared" si="9"/>
        <v>104.2</v>
      </c>
      <c r="W64" s="176">
        <f t="shared" si="7"/>
        <v>1696.1399999999999</v>
      </c>
      <c r="X64" s="132">
        <v>100</v>
      </c>
      <c r="Y64" s="132">
        <v>0</v>
      </c>
      <c r="Z64"/>
    </row>
    <row r="65" spans="5:26" ht="11.25" customHeight="1" x14ac:dyDescent="0.25">
      <c r="E65" s="175">
        <v>10</v>
      </c>
      <c r="F65" s="133" t="s">
        <v>130</v>
      </c>
      <c r="G65" s="133">
        <v>100.02</v>
      </c>
      <c r="H65" s="133">
        <f t="shared" si="8"/>
        <v>1500.3</v>
      </c>
      <c r="I65" s="133"/>
      <c r="J65" s="133">
        <f>G65*2</f>
        <v>200.04</v>
      </c>
      <c r="K65" s="140"/>
      <c r="L65" s="139">
        <f t="shared" si="5"/>
        <v>100</v>
      </c>
      <c r="M65" s="133"/>
      <c r="N65" s="133"/>
      <c r="O65" s="133">
        <f t="shared" si="6"/>
        <v>1800.34</v>
      </c>
      <c r="P65" s="133">
        <v>104.2</v>
      </c>
      <c r="Q65" s="133"/>
      <c r="R65" s="141">
        <v>45</v>
      </c>
      <c r="S65" s="141"/>
      <c r="T65" s="133"/>
      <c r="U65" s="133"/>
      <c r="V65" s="133">
        <f t="shared" si="9"/>
        <v>149.19999999999999</v>
      </c>
      <c r="W65" s="176">
        <f t="shared" si="7"/>
        <v>1651.1399999999999</v>
      </c>
      <c r="X65" s="132">
        <v>100</v>
      </c>
      <c r="Y65" s="135"/>
      <c r="Z65"/>
    </row>
    <row r="66" spans="5:26" ht="11.25" customHeight="1" x14ac:dyDescent="0.25">
      <c r="E66" s="175">
        <v>11</v>
      </c>
      <c r="F66" s="149" t="s">
        <v>131</v>
      </c>
      <c r="G66" s="149">
        <v>216.66</v>
      </c>
      <c r="H66" s="133">
        <f t="shared" si="8"/>
        <v>3249.9</v>
      </c>
      <c r="I66" s="133"/>
      <c r="J66" s="150"/>
      <c r="K66" s="182"/>
      <c r="L66" s="139">
        <f t="shared" si="5"/>
        <v>100</v>
      </c>
      <c r="M66" s="149"/>
      <c r="N66" s="149"/>
      <c r="O66" s="133">
        <f t="shared" si="6"/>
        <v>3349.9</v>
      </c>
      <c r="P66" s="149">
        <v>260.39</v>
      </c>
      <c r="Q66" s="149">
        <v>200</v>
      </c>
      <c r="R66" s="151"/>
      <c r="S66" s="151"/>
      <c r="T66" s="149"/>
      <c r="U66" s="149"/>
      <c r="V66" s="133">
        <f t="shared" si="9"/>
        <v>460.39</v>
      </c>
      <c r="W66" s="176">
        <f t="shared" si="7"/>
        <v>2889.51</v>
      </c>
      <c r="X66" s="183">
        <v>100</v>
      </c>
      <c r="Y66" s="183"/>
      <c r="Z66"/>
    </row>
    <row r="67" spans="5:26" ht="11.25" customHeight="1" x14ac:dyDescent="0.25">
      <c r="E67" s="175">
        <v>12</v>
      </c>
      <c r="F67" s="149" t="s">
        <v>235</v>
      </c>
      <c r="G67" s="132">
        <v>100.02</v>
      </c>
      <c r="H67" s="133">
        <f t="shared" si="8"/>
        <v>1500.3</v>
      </c>
      <c r="I67" s="133"/>
      <c r="J67" s="150">
        <f>G67*2</f>
        <v>200.04</v>
      </c>
      <c r="K67" s="182"/>
      <c r="L67" s="139">
        <f t="shared" si="5"/>
        <v>0</v>
      </c>
      <c r="M67" s="149"/>
      <c r="N67" s="149"/>
      <c r="O67" s="133">
        <f t="shared" si="6"/>
        <v>1700.34</v>
      </c>
      <c r="P67" s="133">
        <v>97.8</v>
      </c>
      <c r="Q67" s="149"/>
      <c r="R67" s="151"/>
      <c r="S67" s="151"/>
      <c r="T67" s="149"/>
      <c r="U67" s="149"/>
      <c r="V67" s="133">
        <f t="shared" si="9"/>
        <v>97.8</v>
      </c>
      <c r="W67" s="176">
        <f t="shared" si="7"/>
        <v>1602.54</v>
      </c>
      <c r="X67" s="183"/>
      <c r="Y67" s="183"/>
      <c r="Z67"/>
    </row>
    <row r="68" spans="5:26" x14ac:dyDescent="0.25">
      <c r="G68" s="2"/>
      <c r="P68" s="43"/>
      <c r="Q68" s="196"/>
      <c r="R68" s="43"/>
      <c r="T68" s="186"/>
      <c r="U68" s="185"/>
      <c r="X68" s="185"/>
      <c r="Z68" s="2"/>
    </row>
    <row r="69" spans="5:26" x14ac:dyDescent="0.25"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9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5:26" x14ac:dyDescent="0.25">
      <c r="G70" s="2"/>
      <c r="P70" s="43"/>
      <c r="Q70" s="196"/>
      <c r="R70" s="43"/>
      <c r="T70" s="186"/>
      <c r="U70" s="185"/>
      <c r="X70" s="43"/>
      <c r="Z70" s="2"/>
    </row>
    <row r="71" spans="5:26" x14ac:dyDescent="0.25">
      <c r="G71" s="2"/>
      <c r="P71" s="43"/>
      <c r="Q71" s="196"/>
      <c r="R71" s="43"/>
      <c r="T71" s="186"/>
      <c r="X71" s="43"/>
      <c r="Z71" s="2"/>
    </row>
    <row r="72" spans="5:26" x14ac:dyDescent="0.25">
      <c r="G72" s="2"/>
      <c r="P72" s="43"/>
      <c r="Q72" s="197"/>
      <c r="R72" s="43"/>
      <c r="T72" s="186"/>
      <c r="X72" s="43"/>
      <c r="Z72" s="2"/>
    </row>
    <row r="73" spans="5:26" x14ac:dyDescent="0.25">
      <c r="G73" s="2"/>
      <c r="P73" s="43"/>
      <c r="Q73" s="196"/>
      <c r="R73" s="43"/>
      <c r="T73" s="186"/>
      <c r="X73" s="43"/>
      <c r="Z73" s="2"/>
    </row>
    <row r="74" spans="5:26" x14ac:dyDescent="0.25">
      <c r="G74" s="2"/>
      <c r="P74" s="43"/>
      <c r="Q74" s="196"/>
      <c r="R74" s="43"/>
      <c r="T74" s="186"/>
      <c r="X74" s="43"/>
      <c r="Z74" s="2"/>
    </row>
    <row r="75" spans="5:26" x14ac:dyDescent="0.25">
      <c r="G75" s="2"/>
      <c r="P75" s="43"/>
      <c r="Q75" s="196"/>
      <c r="R75" s="43"/>
      <c r="T75" s="186"/>
      <c r="X75" s="43"/>
      <c r="Z75" s="2"/>
    </row>
    <row r="76" spans="5:26" x14ac:dyDescent="0.25">
      <c r="G76" s="2"/>
      <c r="P76" s="43"/>
      <c r="Q76" s="196"/>
      <c r="R76" s="43"/>
      <c r="T76" s="186"/>
      <c r="X76" s="43"/>
      <c r="Z76" s="2"/>
    </row>
    <row r="77" spans="5:26" x14ac:dyDescent="0.25">
      <c r="G77" s="2"/>
      <c r="P77" s="43"/>
      <c r="Q77" s="196"/>
      <c r="R77" s="43"/>
      <c r="T77" s="186"/>
      <c r="X77" s="43"/>
      <c r="Z77" s="2"/>
    </row>
    <row r="78" spans="5:26" x14ac:dyDescent="0.25">
      <c r="G78" s="2"/>
      <c r="P78" s="43"/>
      <c r="Q78" s="196"/>
      <c r="R78" s="43"/>
      <c r="T78" s="186"/>
      <c r="X78" s="43"/>
      <c r="Z78" s="2"/>
    </row>
    <row r="91" spans="1:25" s="118" customFormat="1" ht="15.75" thickBot="1" x14ac:dyDescent="0.3">
      <c r="A91" s="2"/>
      <c r="B91" s="2"/>
      <c r="C91" s="2"/>
      <c r="D91" s="2"/>
      <c r="E91" s="2"/>
      <c r="F91" s="2" t="s">
        <v>289</v>
      </c>
      <c r="G91" s="43"/>
      <c r="H91" s="43"/>
      <c r="I91" s="43"/>
      <c r="J91" s="43"/>
      <c r="K91" s="43"/>
      <c r="L91" s="43"/>
      <c r="M91" s="43"/>
      <c r="N91" s="43"/>
      <c r="O91" s="43"/>
      <c r="P91" s="196"/>
      <c r="Q91" s="43"/>
      <c r="R91" s="186"/>
      <c r="S91" s="186"/>
      <c r="T91" s="43"/>
      <c r="U91" s="43"/>
      <c r="V91" s="43"/>
      <c r="W91" s="43"/>
      <c r="X91" s="2"/>
      <c r="Y91" s="2"/>
    </row>
    <row r="92" spans="1:25" s="118" customFormat="1" ht="33" customHeight="1" thickBot="1" x14ac:dyDescent="0.3">
      <c r="A92" s="123" t="s">
        <v>279</v>
      </c>
      <c r="B92" s="67" t="s">
        <v>249</v>
      </c>
      <c r="C92" s="67" t="s">
        <v>250</v>
      </c>
      <c r="D92" s="67" t="s">
        <v>251</v>
      </c>
      <c r="E92" s="124" t="s">
        <v>0</v>
      </c>
      <c r="F92" s="125" t="s">
        <v>280</v>
      </c>
      <c r="G92" s="126" t="s">
        <v>281</v>
      </c>
      <c r="H92" s="126" t="s">
        <v>254</v>
      </c>
      <c r="I92" s="126" t="s">
        <v>257</v>
      </c>
      <c r="J92" s="126" t="s">
        <v>261</v>
      </c>
      <c r="K92" s="126" t="s">
        <v>282</v>
      </c>
      <c r="L92" s="126" t="s">
        <v>283</v>
      </c>
      <c r="M92" s="174" t="s">
        <v>264</v>
      </c>
      <c r="N92" s="126" t="s">
        <v>265</v>
      </c>
      <c r="O92" s="126" t="s">
        <v>55</v>
      </c>
      <c r="P92" s="194" t="s">
        <v>1</v>
      </c>
      <c r="Q92" s="126" t="s">
        <v>284</v>
      </c>
      <c r="R92" s="128" t="s">
        <v>56</v>
      </c>
      <c r="S92" s="128"/>
      <c r="T92" s="126" t="s">
        <v>285</v>
      </c>
      <c r="U92" s="126" t="s">
        <v>286</v>
      </c>
      <c r="V92" s="126" t="s">
        <v>272</v>
      </c>
      <c r="W92" s="126" t="s">
        <v>273</v>
      </c>
      <c r="X92" s="126" t="s">
        <v>287</v>
      </c>
      <c r="Y92" s="126" t="s">
        <v>288</v>
      </c>
    </row>
    <row r="93" spans="1:25" s="118" customFormat="1" ht="9" customHeight="1" x14ac:dyDescent="0.25">
      <c r="A93" s="4" t="s">
        <v>24</v>
      </c>
      <c r="B93" s="73" t="s">
        <v>58</v>
      </c>
      <c r="C93" s="73" t="s">
        <v>25</v>
      </c>
      <c r="D93" s="73"/>
      <c r="E93" s="148">
        <v>2</v>
      </c>
      <c r="F93" s="149" t="s">
        <v>240</v>
      </c>
      <c r="G93" s="150">
        <v>216.67</v>
      </c>
      <c r="H93" s="132">
        <f>G93*15</f>
        <v>3250.0499999999997</v>
      </c>
      <c r="I93" s="150"/>
      <c r="J93" s="149">
        <v>0</v>
      </c>
      <c r="K93" s="149"/>
      <c r="L93" s="150"/>
      <c r="M93" s="150"/>
      <c r="N93" s="149"/>
      <c r="O93" s="150">
        <f>SUM(H93:N93)</f>
        <v>3250.0499999999997</v>
      </c>
      <c r="P93" s="149">
        <v>124.42</v>
      </c>
      <c r="Q93" s="149"/>
      <c r="R93" s="151"/>
      <c r="S93" s="151"/>
      <c r="T93" s="149"/>
      <c r="U93" s="149"/>
      <c r="V93" s="150">
        <f>SUM(P93:U93)</f>
        <v>124.42</v>
      </c>
      <c r="W93" s="135">
        <f>O93-V93</f>
        <v>3125.6299999999997</v>
      </c>
      <c r="X93" s="133">
        <v>100</v>
      </c>
      <c r="Y93" s="133"/>
    </row>
    <row r="106" spans="7:26" s="2" customFormat="1" x14ac:dyDescent="0.25">
      <c r="G106" s="43"/>
      <c r="H106" s="43"/>
      <c r="I106" s="43"/>
      <c r="J106" s="43"/>
      <c r="K106" s="43"/>
      <c r="L106" s="43"/>
      <c r="M106" s="43"/>
      <c r="N106" s="43"/>
      <c r="O106" s="43"/>
      <c r="P106" s="196"/>
      <c r="Q106" s="43"/>
      <c r="R106" s="186"/>
      <c r="S106" s="186"/>
      <c r="T106" s="43"/>
      <c r="U106" s="43"/>
      <c r="V106" s="43"/>
      <c r="W106" s="43"/>
      <c r="Z106" s="118"/>
    </row>
  </sheetData>
  <pageMargins left="0.42" right="0.42" top="0" bottom="0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2"/>
  <sheetViews>
    <sheetView topLeftCell="A34" workbookViewId="0">
      <selection activeCell="M10" sqref="M10:M102"/>
    </sheetView>
  </sheetViews>
  <sheetFormatPr baseColWidth="10" defaultRowHeight="15" x14ac:dyDescent="0.25"/>
  <cols>
    <col min="1" max="1" width="11.5703125" style="2"/>
    <col min="2" max="2" width="11.5703125" style="201"/>
    <col min="3" max="3" width="30.5703125" style="2" customWidth="1"/>
    <col min="4" max="4" width="28.7109375" style="2" bestFit="1" customWidth="1"/>
    <col min="5" max="6" width="10.42578125" style="2" customWidth="1"/>
    <col min="7" max="7" width="9" style="2" customWidth="1"/>
    <col min="8" max="8" width="10" style="2" bestFit="1" customWidth="1"/>
    <col min="9" max="9" width="9.5703125" style="2" bestFit="1" customWidth="1"/>
    <col min="10" max="10" width="9.7109375" style="2" bestFit="1" customWidth="1"/>
    <col min="11" max="11" width="9.5703125" style="2" bestFit="1" customWidth="1"/>
    <col min="12" max="12" width="11" style="2" bestFit="1" customWidth="1"/>
    <col min="13" max="13" width="12.42578125" style="2" bestFit="1" customWidth="1"/>
  </cols>
  <sheetData>
    <row r="2" spans="1:17" ht="14.45" x14ac:dyDescent="0.3">
      <c r="B2" s="204" t="s">
        <v>144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7" ht="14.45" x14ac:dyDescent="0.3">
      <c r="B3" s="205" t="s">
        <v>145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7" ht="12" customHeight="1" x14ac:dyDescent="0.3">
      <c r="A4" s="31"/>
      <c r="B4" s="206">
        <v>42767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17" ht="12" customHeight="1" x14ac:dyDescent="0.3">
      <c r="A5" s="31"/>
      <c r="C5" s="203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7" ht="12" customHeight="1" x14ac:dyDescent="0.3">
      <c r="A6" s="31"/>
      <c r="C6" s="203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7" ht="16.5" customHeight="1" x14ac:dyDescent="0.3">
      <c r="A7" s="1" t="s">
        <v>245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7" ht="16.5" customHeight="1" thickBot="1" x14ac:dyDescent="0.35">
      <c r="A8" s="2" t="s">
        <v>298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 ht="21" thickBot="1" x14ac:dyDescent="0.35">
      <c r="A9" s="8" t="s">
        <v>0</v>
      </c>
      <c r="B9" s="36" t="s">
        <v>143</v>
      </c>
      <c r="C9" s="37" t="s">
        <v>142</v>
      </c>
      <c r="D9" s="7" t="s">
        <v>136</v>
      </c>
      <c r="E9" s="38" t="s">
        <v>55</v>
      </c>
      <c r="F9" s="39" t="s">
        <v>1</v>
      </c>
      <c r="G9" s="40" t="s">
        <v>56</v>
      </c>
      <c r="H9" s="41" t="s">
        <v>140</v>
      </c>
      <c r="I9" s="41" t="s">
        <v>138</v>
      </c>
      <c r="J9" s="38" t="s">
        <v>137</v>
      </c>
      <c r="K9" s="38" t="s">
        <v>139</v>
      </c>
      <c r="L9" s="7" t="s">
        <v>135</v>
      </c>
      <c r="M9" s="8" t="s">
        <v>141</v>
      </c>
    </row>
    <row r="10" spans="1:17" ht="13.5" customHeight="1" x14ac:dyDescent="0.3">
      <c r="A10" s="33">
        <v>1</v>
      </c>
      <c r="B10" s="24" t="s">
        <v>153</v>
      </c>
      <c r="C10" s="23" t="s">
        <v>5</v>
      </c>
      <c r="D10" s="3" t="s">
        <v>4</v>
      </c>
      <c r="E10" s="42">
        <f>'FB1'!T6+'FB2'!T6</f>
        <v>9783.58</v>
      </c>
      <c r="F10" s="42">
        <f>'FB1'!U6+'FB2'!U6</f>
        <v>1008.22</v>
      </c>
      <c r="G10" s="42">
        <f>'FB1'!V6+'FB2'!V6</f>
        <v>144.72</v>
      </c>
      <c r="H10" s="42">
        <f>F10+G10</f>
        <v>1152.94</v>
      </c>
      <c r="I10" s="42">
        <f>E10-H10</f>
        <v>8630.64</v>
      </c>
      <c r="J10" s="42">
        <f>'FB1'!AA6+'FB2'!AA6</f>
        <v>1190.04</v>
      </c>
      <c r="K10" s="42">
        <f>I10-J10</f>
        <v>7440.5999999999995</v>
      </c>
      <c r="L10" s="3" t="s">
        <v>3</v>
      </c>
      <c r="M10" s="16" t="s">
        <v>2</v>
      </c>
      <c r="O10" s="101"/>
      <c r="Q10" s="101"/>
    </row>
    <row r="11" spans="1:17" ht="13.5" customHeight="1" x14ac:dyDescent="0.3">
      <c r="A11" s="33">
        <v>2</v>
      </c>
      <c r="B11" s="24" t="s">
        <v>154</v>
      </c>
      <c r="C11" s="19" t="s">
        <v>8</v>
      </c>
      <c r="D11" s="4" t="s">
        <v>7</v>
      </c>
      <c r="E11" s="42">
        <f>'FB1'!T7+'FB2'!T7</f>
        <v>12788.1</v>
      </c>
      <c r="F11" s="42">
        <f>'FB1'!U7+'FB2'!U7</f>
        <v>1637.16</v>
      </c>
      <c r="G11" s="42">
        <f>'FB1'!V7+'FB2'!V7</f>
        <v>222.98</v>
      </c>
      <c r="H11" s="42">
        <f t="shared" ref="H11:H74" si="0">F11+G11</f>
        <v>1860.14</v>
      </c>
      <c r="I11" s="42">
        <f t="shared" ref="I11:I74" si="1">E11-H11</f>
        <v>10927.960000000001</v>
      </c>
      <c r="J11" s="42">
        <f>'FB1'!AA7+'FB2'!AA7</f>
        <v>1906.96</v>
      </c>
      <c r="K11" s="42">
        <f t="shared" ref="K11:K74" si="2">I11-J11</f>
        <v>9021</v>
      </c>
      <c r="L11" s="4" t="s">
        <v>3</v>
      </c>
      <c r="M11" s="17" t="s">
        <v>6</v>
      </c>
      <c r="O11" s="101"/>
      <c r="Q11" s="101"/>
    </row>
    <row r="12" spans="1:17" ht="13.5" customHeight="1" x14ac:dyDescent="0.25">
      <c r="A12" s="33">
        <v>3</v>
      </c>
      <c r="B12" s="24" t="s">
        <v>161</v>
      </c>
      <c r="C12" s="19" t="s">
        <v>10</v>
      </c>
      <c r="D12" s="4" t="s">
        <v>9</v>
      </c>
      <c r="E12" s="42">
        <f>'FB1'!T8+'FB2'!T8</f>
        <v>6986.7199999999993</v>
      </c>
      <c r="F12" s="42">
        <f>'FB1'!U8+'FB2'!U8</f>
        <v>301.77999999999997</v>
      </c>
      <c r="G12" s="42">
        <f>'FB1'!V8+'FB2'!V8</f>
        <v>93.86</v>
      </c>
      <c r="H12" s="42">
        <f t="shared" si="0"/>
        <v>395.64</v>
      </c>
      <c r="I12" s="42">
        <f t="shared" si="1"/>
        <v>6591.079999999999</v>
      </c>
      <c r="J12" s="42">
        <f>'FB1'!AA8+'FB2'!AA8</f>
        <v>1259.4000000000001</v>
      </c>
      <c r="K12" s="42">
        <f t="shared" si="2"/>
        <v>5331.6799999999985</v>
      </c>
      <c r="L12" s="4" t="s">
        <v>3</v>
      </c>
      <c r="M12" s="17" t="s">
        <v>6</v>
      </c>
      <c r="O12" s="101"/>
      <c r="Q12" s="101"/>
    </row>
    <row r="13" spans="1:17" ht="13.5" customHeight="1" x14ac:dyDescent="0.3">
      <c r="A13" s="33">
        <v>4</v>
      </c>
      <c r="B13" s="24" t="s">
        <v>164</v>
      </c>
      <c r="C13" s="19" t="s">
        <v>169</v>
      </c>
      <c r="D13" s="4" t="s">
        <v>9</v>
      </c>
      <c r="E13" s="42">
        <f>'FB1'!T9+'FB2'!T9</f>
        <v>8100.0366666666669</v>
      </c>
      <c r="F13" s="42">
        <f>'FB1'!U9+'FB2'!U9</f>
        <v>714.18000000000006</v>
      </c>
      <c r="G13" s="42">
        <f>'FB1'!V9+'FB2'!V9</f>
        <v>96.22</v>
      </c>
      <c r="H13" s="42">
        <f t="shared" si="0"/>
        <v>810.40000000000009</v>
      </c>
      <c r="I13" s="42">
        <f t="shared" si="1"/>
        <v>7289.6366666666672</v>
      </c>
      <c r="J13" s="42">
        <f>'FB1'!AA9+'FB2'!AA9</f>
        <v>2098.1999999999998</v>
      </c>
      <c r="K13" s="42">
        <f t="shared" si="2"/>
        <v>5191.4366666666674</v>
      </c>
      <c r="L13" s="4" t="s">
        <v>3</v>
      </c>
      <c r="M13" s="17" t="s">
        <v>6</v>
      </c>
      <c r="O13" s="101"/>
      <c r="Q13" s="101"/>
    </row>
    <row r="14" spans="1:17" ht="13.5" customHeight="1" x14ac:dyDescent="0.3">
      <c r="A14" s="33">
        <v>5</v>
      </c>
      <c r="B14" s="24" t="s">
        <v>167</v>
      </c>
      <c r="C14" s="19" t="s">
        <v>13</v>
      </c>
      <c r="D14" s="4" t="s">
        <v>12</v>
      </c>
      <c r="E14" s="42">
        <f>'FB1'!T10+'FB2'!T10</f>
        <v>8761.7020000000011</v>
      </c>
      <c r="F14" s="42">
        <f>'FB1'!U10+'FB2'!U10</f>
        <v>825.1099999999999</v>
      </c>
      <c r="G14" s="42">
        <f>'FB1'!V10+'FB2'!V10</f>
        <v>101.72</v>
      </c>
      <c r="H14" s="42">
        <f t="shared" si="0"/>
        <v>926.82999999999993</v>
      </c>
      <c r="I14" s="42">
        <f t="shared" si="1"/>
        <v>7834.8720000000012</v>
      </c>
      <c r="J14" s="42">
        <f>'FB1'!AA10+'FB2'!AA10</f>
        <v>1461.53</v>
      </c>
      <c r="K14" s="42">
        <f t="shared" si="2"/>
        <v>6373.3420000000015</v>
      </c>
      <c r="L14" s="4" t="s">
        <v>3</v>
      </c>
      <c r="M14" s="17" t="s">
        <v>11</v>
      </c>
      <c r="O14" s="101"/>
      <c r="Q14" s="101"/>
    </row>
    <row r="15" spans="1:17" ht="13.5" customHeight="1" x14ac:dyDescent="0.3">
      <c r="A15" s="33">
        <v>6</v>
      </c>
      <c r="B15" s="24" t="s">
        <v>148</v>
      </c>
      <c r="C15" s="20" t="s">
        <v>16</v>
      </c>
      <c r="D15" s="4" t="s">
        <v>15</v>
      </c>
      <c r="E15" s="42">
        <f>'FB1'!T11+'FB2'!T11</f>
        <v>10455.089999999998</v>
      </c>
      <c r="F15" s="42">
        <f>'FB1'!U11+'FB2'!U11</f>
        <v>885.05000000000007</v>
      </c>
      <c r="G15" s="42">
        <f>'FB1'!V11+'FB2'!V11</f>
        <v>88.56</v>
      </c>
      <c r="H15" s="42">
        <f t="shared" si="0"/>
        <v>973.61000000000013</v>
      </c>
      <c r="I15" s="42">
        <f t="shared" si="1"/>
        <v>9481.4799999999977</v>
      </c>
      <c r="J15" s="42">
        <f>'FB1'!AA11+'FB2'!AA11</f>
        <v>1511.7864</v>
      </c>
      <c r="K15" s="42">
        <f t="shared" si="2"/>
        <v>7969.6935999999978</v>
      </c>
      <c r="L15" s="4" t="s">
        <v>3</v>
      </c>
      <c r="M15" s="17" t="s">
        <v>14</v>
      </c>
      <c r="O15" s="101"/>
      <c r="Q15" s="101"/>
    </row>
    <row r="16" spans="1:17" ht="13.5" customHeight="1" x14ac:dyDescent="0.3">
      <c r="A16" s="33">
        <v>7</v>
      </c>
      <c r="B16" s="24" t="s">
        <v>149</v>
      </c>
      <c r="C16" s="20" t="s">
        <v>18</v>
      </c>
      <c r="D16" s="4" t="s">
        <v>15</v>
      </c>
      <c r="E16" s="42">
        <f>'FB1'!T12+'FB2'!T12</f>
        <v>10221.520000000002</v>
      </c>
      <c r="F16" s="42">
        <f>'FB1'!U12+'FB2'!U12</f>
        <v>1096.42</v>
      </c>
      <c r="G16" s="42">
        <f>'FB1'!V12+'FB2'!V12</f>
        <v>120.34</v>
      </c>
      <c r="H16" s="42">
        <f t="shared" si="0"/>
        <v>1216.76</v>
      </c>
      <c r="I16" s="42">
        <f t="shared" si="1"/>
        <v>9004.760000000002</v>
      </c>
      <c r="J16" s="42">
        <f>'FB1'!AA12+'FB2'!AA12</f>
        <v>2590.3000000000002</v>
      </c>
      <c r="K16" s="42">
        <f t="shared" si="2"/>
        <v>6414.4600000000019</v>
      </c>
      <c r="L16" s="4" t="s">
        <v>3</v>
      </c>
      <c r="M16" s="17" t="s">
        <v>14</v>
      </c>
      <c r="O16" s="101"/>
      <c r="Q16" s="101"/>
    </row>
    <row r="17" spans="1:17" ht="13.5" customHeight="1" x14ac:dyDescent="0.3">
      <c r="A17" s="33">
        <v>8</v>
      </c>
      <c r="B17" s="24" t="s">
        <v>156</v>
      </c>
      <c r="C17" s="19" t="s">
        <v>19</v>
      </c>
      <c r="D17" s="4" t="s">
        <v>15</v>
      </c>
      <c r="E17" s="42">
        <f>'FB1'!T13+'FB2'!T13</f>
        <v>9713.9399999999987</v>
      </c>
      <c r="F17" s="42">
        <f>'FB1'!U13+'FB2'!U13</f>
        <v>995.74</v>
      </c>
      <c r="G17" s="42">
        <f>'FB1'!V13+'FB2'!V13</f>
        <v>71.459999999999994</v>
      </c>
      <c r="H17" s="42">
        <f t="shared" si="0"/>
        <v>1067.2</v>
      </c>
      <c r="I17" s="42">
        <f t="shared" si="1"/>
        <v>8646.739999999998</v>
      </c>
      <c r="J17" s="42">
        <f>'FB1'!AA13+'FB2'!AA13</f>
        <v>2386.08</v>
      </c>
      <c r="K17" s="42">
        <f t="shared" si="2"/>
        <v>6260.659999999998</v>
      </c>
      <c r="L17" s="4" t="s">
        <v>3</v>
      </c>
      <c r="M17" s="17" t="s">
        <v>14</v>
      </c>
      <c r="O17" s="101"/>
      <c r="Q17" s="101"/>
    </row>
    <row r="18" spans="1:17" ht="13.5" customHeight="1" x14ac:dyDescent="0.3">
      <c r="A18" s="33">
        <v>9</v>
      </c>
      <c r="B18" s="25" t="s">
        <v>165</v>
      </c>
      <c r="C18" s="20" t="s">
        <v>21</v>
      </c>
      <c r="D18" s="4" t="s">
        <v>17</v>
      </c>
      <c r="E18" s="42">
        <f>'FB1'!T14+'FB2'!T14</f>
        <v>6905.6880000000001</v>
      </c>
      <c r="F18" s="42">
        <f>'FB1'!U14+'FB2'!U14</f>
        <v>266.95</v>
      </c>
      <c r="G18" s="42">
        <f>'FB1'!V14+'FB2'!V14</f>
        <v>85.64</v>
      </c>
      <c r="H18" s="42">
        <f t="shared" si="0"/>
        <v>352.59</v>
      </c>
      <c r="I18" s="42">
        <f t="shared" si="1"/>
        <v>6553.098</v>
      </c>
      <c r="J18" s="42">
        <f>'FB1'!AA14+'FB2'!AA14</f>
        <v>1871.3899999999999</v>
      </c>
      <c r="K18" s="42">
        <f t="shared" si="2"/>
        <v>4681.7080000000005</v>
      </c>
      <c r="L18" s="4" t="s">
        <v>20</v>
      </c>
      <c r="M18" s="18" t="s">
        <v>14</v>
      </c>
      <c r="O18" s="101"/>
      <c r="Q18" s="101"/>
    </row>
    <row r="19" spans="1:17" ht="13.5" customHeight="1" x14ac:dyDescent="0.3">
      <c r="A19" s="33">
        <v>10</v>
      </c>
      <c r="B19" s="25" t="s">
        <v>166</v>
      </c>
      <c r="C19" s="20" t="s">
        <v>22</v>
      </c>
      <c r="D19" s="4" t="s">
        <v>17</v>
      </c>
      <c r="E19" s="42">
        <f>'FB1'!T15+'FB2'!T15</f>
        <v>5654.68</v>
      </c>
      <c r="F19" s="42">
        <f>'FB1'!U15+'FB2'!U15</f>
        <v>101.36</v>
      </c>
      <c r="G19" s="42">
        <f>'FB1'!V15+'FB2'!V15</f>
        <v>60.26</v>
      </c>
      <c r="H19" s="42">
        <f t="shared" si="0"/>
        <v>161.62</v>
      </c>
      <c r="I19" s="42">
        <f t="shared" si="1"/>
        <v>5493.06</v>
      </c>
      <c r="J19" s="42">
        <f>'FB1'!AA15+'FB2'!AA15</f>
        <v>185.88</v>
      </c>
      <c r="K19" s="42">
        <f t="shared" si="2"/>
        <v>5307.18</v>
      </c>
      <c r="L19" s="4" t="s">
        <v>3</v>
      </c>
      <c r="M19" s="18" t="s">
        <v>14</v>
      </c>
      <c r="O19" s="101"/>
      <c r="Q19" s="101"/>
    </row>
    <row r="20" spans="1:17" ht="13.5" customHeight="1" x14ac:dyDescent="0.3">
      <c r="A20" s="33">
        <v>11</v>
      </c>
      <c r="B20" s="24" t="s">
        <v>146</v>
      </c>
      <c r="C20" s="19" t="s">
        <v>26</v>
      </c>
      <c r="D20" s="4" t="s">
        <v>25</v>
      </c>
      <c r="E20" s="42">
        <f>'FB1'!T16+'FB2'!T16</f>
        <v>3283.288</v>
      </c>
      <c r="F20" s="42">
        <f>'FB1'!U16+'FB2'!U16</f>
        <v>0</v>
      </c>
      <c r="G20" s="42">
        <f>'FB1'!V16+'FB2'!V16</f>
        <v>45.68</v>
      </c>
      <c r="H20" s="42">
        <f t="shared" si="0"/>
        <v>45.68</v>
      </c>
      <c r="I20" s="42">
        <f t="shared" si="1"/>
        <v>3237.6080000000002</v>
      </c>
      <c r="J20" s="42">
        <f>'FB1'!AA16+'FB2'!AA16</f>
        <v>45.68</v>
      </c>
      <c r="K20" s="42">
        <f t="shared" si="2"/>
        <v>3191.9280000000003</v>
      </c>
      <c r="L20" s="4" t="s">
        <v>20</v>
      </c>
      <c r="M20" s="17" t="s">
        <v>24</v>
      </c>
      <c r="O20" s="101"/>
      <c r="Q20" s="101"/>
    </row>
    <row r="21" spans="1:17" ht="13.5" customHeight="1" x14ac:dyDescent="0.3">
      <c r="A21" s="33">
        <v>12</v>
      </c>
      <c r="B21" s="24" t="s">
        <v>147</v>
      </c>
      <c r="C21" s="19" t="s">
        <v>27</v>
      </c>
      <c r="D21" s="4" t="s">
        <v>25</v>
      </c>
      <c r="E21" s="42">
        <f>'FB1'!T17+'FB2'!T17</f>
        <v>5718.28</v>
      </c>
      <c r="F21" s="42">
        <f>'FB1'!U17+'FB2'!U17</f>
        <v>123.28</v>
      </c>
      <c r="G21" s="42">
        <f>'FB1'!V17+'FB2'!V17</f>
        <v>103.36</v>
      </c>
      <c r="H21" s="42">
        <f t="shared" si="0"/>
        <v>226.64</v>
      </c>
      <c r="I21" s="42">
        <f t="shared" si="1"/>
        <v>5491.6399999999994</v>
      </c>
      <c r="J21" s="42">
        <f>'FB1'!AA17+'FB2'!AA17</f>
        <v>1399.3000000000002</v>
      </c>
      <c r="K21" s="42">
        <f t="shared" si="2"/>
        <v>4092.3399999999992</v>
      </c>
      <c r="L21" s="4" t="s">
        <v>20</v>
      </c>
      <c r="M21" s="17" t="s">
        <v>24</v>
      </c>
      <c r="O21" s="101"/>
      <c r="Q21" s="101"/>
    </row>
    <row r="22" spans="1:17" ht="13.5" customHeight="1" x14ac:dyDescent="0.25">
      <c r="A22" s="33">
        <v>13</v>
      </c>
      <c r="B22" s="24" t="s">
        <v>150</v>
      </c>
      <c r="C22" s="20" t="s">
        <v>29</v>
      </c>
      <c r="D22" s="4" t="s">
        <v>28</v>
      </c>
      <c r="E22" s="42">
        <f>'FB1'!T18+'FB2'!T18</f>
        <v>11537.706666666667</v>
      </c>
      <c r="F22" s="42">
        <f>'FB1'!U18+'FB2'!U18</f>
        <v>1198.9299999999998</v>
      </c>
      <c r="G22" s="42">
        <f>'FB1'!V18+'FB2'!V18</f>
        <v>222.98</v>
      </c>
      <c r="H22" s="42">
        <f t="shared" si="0"/>
        <v>1421.9099999999999</v>
      </c>
      <c r="I22" s="42">
        <f t="shared" si="1"/>
        <v>10115.796666666667</v>
      </c>
      <c r="J22" s="42">
        <f>'FB1'!AA18+'FB2'!AA18</f>
        <v>1502.65</v>
      </c>
      <c r="K22" s="42">
        <f t="shared" si="2"/>
        <v>8613.1466666666674</v>
      </c>
      <c r="L22" s="4" t="s">
        <v>3</v>
      </c>
      <c r="M22" s="17" t="s">
        <v>24</v>
      </c>
      <c r="O22" s="101"/>
      <c r="Q22" s="101"/>
    </row>
    <row r="23" spans="1:17" ht="13.5" customHeight="1" x14ac:dyDescent="0.3">
      <c r="A23" s="33">
        <v>14</v>
      </c>
      <c r="B23" s="24" t="s">
        <v>151</v>
      </c>
      <c r="C23" s="20" t="s">
        <v>31</v>
      </c>
      <c r="D23" s="4" t="s">
        <v>30</v>
      </c>
      <c r="E23" s="42">
        <f>'FB1'!T19+'FB2'!T19</f>
        <v>7222.8853333333327</v>
      </c>
      <c r="F23" s="42">
        <f>'FB1'!U19+'FB2'!U19</f>
        <v>362.88</v>
      </c>
      <c r="G23" s="42">
        <f>'FB1'!V19+'FB2'!V19</f>
        <v>129.41999999999999</v>
      </c>
      <c r="H23" s="42">
        <f t="shared" si="0"/>
        <v>492.29999999999995</v>
      </c>
      <c r="I23" s="42">
        <f t="shared" si="1"/>
        <v>6730.5853333333325</v>
      </c>
      <c r="J23" s="42">
        <f>'FB1'!AA19+'FB2'!AA19</f>
        <v>538.79999999999995</v>
      </c>
      <c r="K23" s="42">
        <f t="shared" si="2"/>
        <v>6191.7853333333323</v>
      </c>
      <c r="L23" s="4" t="s">
        <v>3</v>
      </c>
      <c r="M23" s="17" t="s">
        <v>24</v>
      </c>
      <c r="O23" s="101"/>
      <c r="Q23" s="101"/>
    </row>
    <row r="24" spans="1:17" ht="13.5" customHeight="1" x14ac:dyDescent="0.3">
      <c r="A24" s="33">
        <v>15</v>
      </c>
      <c r="B24" s="24" t="s">
        <v>152</v>
      </c>
      <c r="C24" s="19" t="s">
        <v>32</v>
      </c>
      <c r="D24" s="4" t="s">
        <v>30</v>
      </c>
      <c r="E24" s="42">
        <f>'FB1'!T20+'FB2'!T20</f>
        <v>6863.4433333333345</v>
      </c>
      <c r="F24" s="42">
        <f>'FB1'!U20+'FB2'!U20</f>
        <v>416.35</v>
      </c>
      <c r="G24" s="42">
        <f>'FB1'!V20+'FB2'!V20</f>
        <v>70.66</v>
      </c>
      <c r="H24" s="42">
        <f t="shared" si="0"/>
        <v>487.01</v>
      </c>
      <c r="I24" s="42">
        <f t="shared" si="1"/>
        <v>6376.4333333333343</v>
      </c>
      <c r="J24" s="42">
        <f>'FB1'!AA20+'FB2'!AA20</f>
        <v>1191.19</v>
      </c>
      <c r="K24" s="42">
        <f t="shared" si="2"/>
        <v>5185.2433333333338</v>
      </c>
      <c r="L24" s="4" t="s">
        <v>3</v>
      </c>
      <c r="M24" s="17" t="s">
        <v>24</v>
      </c>
      <c r="O24" s="101"/>
      <c r="Q24" s="101"/>
    </row>
    <row r="25" spans="1:17" ht="13.5" customHeight="1" x14ac:dyDescent="0.3">
      <c r="A25" s="33">
        <v>16</v>
      </c>
      <c r="B25" s="24" t="s">
        <v>155</v>
      </c>
      <c r="C25" s="19" t="s">
        <v>34</v>
      </c>
      <c r="D25" s="4" t="s">
        <v>305</v>
      </c>
      <c r="E25" s="42">
        <f>'FB1'!T21+'FB2'!T21</f>
        <v>9819.8799999999992</v>
      </c>
      <c r="F25" s="42">
        <f>'FB1'!U21+'FB2'!U21</f>
        <v>1014.74</v>
      </c>
      <c r="G25" s="42">
        <f>'FB1'!V21+'FB2'!V21</f>
        <v>179.78</v>
      </c>
      <c r="H25" s="42">
        <f t="shared" si="0"/>
        <v>1194.52</v>
      </c>
      <c r="I25" s="42">
        <f t="shared" si="1"/>
        <v>8625.3599999999988</v>
      </c>
      <c r="J25" s="42">
        <f>'FB1'!AA21+'FB2'!AA21</f>
        <v>1194.52</v>
      </c>
      <c r="K25" s="42">
        <f t="shared" si="2"/>
        <v>7430.8399999999983</v>
      </c>
      <c r="L25" s="4" t="s">
        <v>20</v>
      </c>
      <c r="M25" s="17" t="s">
        <v>24</v>
      </c>
      <c r="O25" s="101"/>
      <c r="Q25" s="101"/>
    </row>
    <row r="26" spans="1:17" ht="13.5" customHeight="1" x14ac:dyDescent="0.3">
      <c r="A26" s="33">
        <v>17</v>
      </c>
      <c r="B26" s="24" t="s">
        <v>157</v>
      </c>
      <c r="C26" s="19" t="s">
        <v>35</v>
      </c>
      <c r="D26" s="4" t="s">
        <v>30</v>
      </c>
      <c r="E26" s="42">
        <f>'FB1'!T22+'FB2'!T22</f>
        <v>4479.4400000000005</v>
      </c>
      <c r="F26" s="42">
        <f>'FB1'!U22+'FB2'!U22</f>
        <v>0</v>
      </c>
      <c r="G26" s="42">
        <f>'FB1'!V22+'FB2'!V22</f>
        <v>64.739999999999995</v>
      </c>
      <c r="H26" s="42">
        <f t="shared" si="0"/>
        <v>64.739999999999995</v>
      </c>
      <c r="I26" s="42">
        <f t="shared" si="1"/>
        <v>4414.7000000000007</v>
      </c>
      <c r="J26" s="42">
        <f>'FB1'!AA22+'FB2'!AA22</f>
        <v>896.04</v>
      </c>
      <c r="K26" s="42">
        <f t="shared" si="2"/>
        <v>3518.6600000000008</v>
      </c>
      <c r="L26" s="4" t="s">
        <v>3</v>
      </c>
      <c r="M26" s="17" t="s">
        <v>24</v>
      </c>
      <c r="O26" s="101"/>
      <c r="Q26" s="101"/>
    </row>
    <row r="27" spans="1:17" ht="13.5" customHeight="1" x14ac:dyDescent="0.3">
      <c r="A27" s="33">
        <v>18</v>
      </c>
      <c r="B27" s="24" t="s">
        <v>158</v>
      </c>
      <c r="C27" s="19" t="s">
        <v>36</v>
      </c>
      <c r="D27" s="4" t="s">
        <v>306</v>
      </c>
      <c r="E27" s="42">
        <f>'FB1'!T23+'FB2'!T23</f>
        <v>8481.8960000000006</v>
      </c>
      <c r="F27" s="42">
        <f>'FB1'!U23+'FB2'!U23</f>
        <v>775.28</v>
      </c>
      <c r="G27" s="42">
        <f>'FB1'!V23+'FB2'!V23</f>
        <v>184.82</v>
      </c>
      <c r="H27" s="42">
        <f t="shared" si="0"/>
        <v>960.09999999999991</v>
      </c>
      <c r="I27" s="42">
        <f t="shared" si="1"/>
        <v>7521.7960000000003</v>
      </c>
      <c r="J27" s="42">
        <f>'FB1'!AA23+'FB2'!AA23</f>
        <v>2317.48</v>
      </c>
      <c r="K27" s="42">
        <f t="shared" si="2"/>
        <v>5204.3160000000007</v>
      </c>
      <c r="L27" s="4" t="s">
        <v>3</v>
      </c>
      <c r="M27" s="17" t="s">
        <v>24</v>
      </c>
      <c r="O27" s="101"/>
      <c r="Q27" s="101"/>
    </row>
    <row r="28" spans="1:17" ht="13.5" customHeight="1" x14ac:dyDescent="0.3">
      <c r="A28" s="33">
        <v>19</v>
      </c>
      <c r="B28" s="24" t="s">
        <v>159</v>
      </c>
      <c r="C28" s="19" t="s">
        <v>37</v>
      </c>
      <c r="D28" s="4" t="s">
        <v>25</v>
      </c>
      <c r="E28" s="42">
        <f>'FB1'!T24+'FB2'!T24</f>
        <v>6579.1679999999997</v>
      </c>
      <c r="F28" s="42">
        <f>'FB1'!U24+'FB2'!U24</f>
        <v>254.9</v>
      </c>
      <c r="G28" s="42">
        <f>'FB1'!V24+'FB2'!V24</f>
        <v>103.72</v>
      </c>
      <c r="H28" s="42">
        <f t="shared" si="0"/>
        <v>358.62</v>
      </c>
      <c r="I28" s="42">
        <f t="shared" si="1"/>
        <v>6220.5479999999998</v>
      </c>
      <c r="J28" s="42">
        <f>'FB1'!AA24+'FB2'!AA24</f>
        <v>358.62</v>
      </c>
      <c r="K28" s="42">
        <f t="shared" si="2"/>
        <v>5861.9279999999999</v>
      </c>
      <c r="L28" s="4" t="s">
        <v>20</v>
      </c>
      <c r="M28" s="17" t="s">
        <v>24</v>
      </c>
      <c r="O28" s="101"/>
      <c r="Q28" s="101"/>
    </row>
    <row r="29" spans="1:17" ht="13.5" customHeight="1" x14ac:dyDescent="0.3">
      <c r="A29" s="33">
        <v>20</v>
      </c>
      <c r="B29" s="24" t="s">
        <v>160</v>
      </c>
      <c r="C29" s="19" t="s">
        <v>38</v>
      </c>
      <c r="D29" s="4" t="s">
        <v>30</v>
      </c>
      <c r="E29" s="42">
        <f>'FB1'!T25+'FB2'!T25</f>
        <v>7431.7333333333336</v>
      </c>
      <c r="F29" s="42">
        <f>'FB1'!U25+'FB2'!U25</f>
        <v>607.26</v>
      </c>
      <c r="G29" s="42">
        <f>'FB1'!V25+'FB2'!V25</f>
        <v>106</v>
      </c>
      <c r="H29" s="42">
        <f t="shared" si="0"/>
        <v>713.26</v>
      </c>
      <c r="I29" s="42">
        <f t="shared" si="1"/>
        <v>6718.4733333333334</v>
      </c>
      <c r="J29" s="42">
        <f>'FB1'!AA25+'FB2'!AA25</f>
        <v>2199.58</v>
      </c>
      <c r="K29" s="42">
        <f t="shared" si="2"/>
        <v>4518.8933333333334</v>
      </c>
      <c r="L29" s="4" t="s">
        <v>3</v>
      </c>
      <c r="M29" s="17" t="s">
        <v>24</v>
      </c>
      <c r="O29" s="101"/>
      <c r="Q29" s="101"/>
    </row>
    <row r="30" spans="1:17" ht="13.5" customHeight="1" x14ac:dyDescent="0.3">
      <c r="A30" s="33">
        <v>21</v>
      </c>
      <c r="B30" s="24" t="s">
        <v>162</v>
      </c>
      <c r="C30" s="19" t="s">
        <v>40</v>
      </c>
      <c r="D30" s="4" t="s">
        <v>301</v>
      </c>
      <c r="E30" s="42">
        <f>'FB1'!T26+'FB2'!T26</f>
        <v>24897.735000000001</v>
      </c>
      <c r="F30" s="42">
        <f>'FB1'!U26+'FB2'!U26</f>
        <v>4318.57</v>
      </c>
      <c r="G30" s="42">
        <f>'FB1'!V26+'FB2'!V26</f>
        <v>397.98</v>
      </c>
      <c r="H30" s="42">
        <f t="shared" si="0"/>
        <v>4716.5499999999993</v>
      </c>
      <c r="I30" s="42">
        <f t="shared" si="1"/>
        <v>20181.185000000001</v>
      </c>
      <c r="J30" s="42">
        <f>'FB1'!AA26+'FB2'!AA26</f>
        <v>7197.2300000000005</v>
      </c>
      <c r="K30" s="42">
        <f t="shared" si="2"/>
        <v>12983.955000000002</v>
      </c>
      <c r="L30" s="4" t="s">
        <v>20</v>
      </c>
      <c r="M30" s="17" t="s">
        <v>24</v>
      </c>
      <c r="O30" s="101"/>
      <c r="Q30" s="101"/>
    </row>
    <row r="31" spans="1:17" ht="13.5" customHeight="1" x14ac:dyDescent="0.3">
      <c r="A31" s="33">
        <v>22</v>
      </c>
      <c r="B31" s="24" t="s">
        <v>163</v>
      </c>
      <c r="C31" s="19" t="s">
        <v>41</v>
      </c>
      <c r="D31" s="4" t="s">
        <v>30</v>
      </c>
      <c r="E31" s="42">
        <f>'FB1'!T27+'FB2'!T27</f>
        <v>6820.9000000000015</v>
      </c>
      <c r="F31" s="42">
        <f>'FB1'!U27+'FB2'!U27</f>
        <v>283.74</v>
      </c>
      <c r="G31" s="42">
        <f>'FB1'!V27+'FB2'!V27</f>
        <v>78.62</v>
      </c>
      <c r="H31" s="42">
        <f t="shared" si="0"/>
        <v>362.36</v>
      </c>
      <c r="I31" s="42">
        <f t="shared" si="1"/>
        <v>6458.5400000000018</v>
      </c>
      <c r="J31" s="42">
        <f>'FB1'!AA27+'FB2'!AA27</f>
        <v>394.02000000000004</v>
      </c>
      <c r="K31" s="42">
        <f t="shared" si="2"/>
        <v>6064.5200000000013</v>
      </c>
      <c r="L31" s="4" t="s">
        <v>3</v>
      </c>
      <c r="M31" s="17" t="s">
        <v>24</v>
      </c>
      <c r="O31" s="101"/>
      <c r="Q31" s="101"/>
    </row>
    <row r="32" spans="1:17" ht="13.5" customHeight="1" x14ac:dyDescent="0.3">
      <c r="A32" s="33">
        <v>23</v>
      </c>
      <c r="B32" s="24" t="s">
        <v>168</v>
      </c>
      <c r="C32" s="19" t="s">
        <v>43</v>
      </c>
      <c r="D32" s="4" t="s">
        <v>42</v>
      </c>
      <c r="E32" s="42">
        <f>'FB1'!T28+'FB2'!T28</f>
        <v>16921.727999999999</v>
      </c>
      <c r="F32" s="42">
        <f>'FB1'!U28+'FB2'!U28</f>
        <v>2520.1</v>
      </c>
      <c r="G32" s="42">
        <f>'FB1'!V28+'FB2'!V28</f>
        <v>282.02</v>
      </c>
      <c r="H32" s="42">
        <f t="shared" si="0"/>
        <v>2802.12</v>
      </c>
      <c r="I32" s="42">
        <f t="shared" si="1"/>
        <v>14119.608</v>
      </c>
      <c r="J32" s="42">
        <f>'FB1'!AA28+'FB2'!AA28</f>
        <v>2882.12</v>
      </c>
      <c r="K32" s="42">
        <f t="shared" si="2"/>
        <v>11237.488000000001</v>
      </c>
      <c r="L32" s="4" t="s">
        <v>3</v>
      </c>
      <c r="M32" s="17" t="s">
        <v>24</v>
      </c>
      <c r="O32" s="101"/>
      <c r="Q32" s="101"/>
    </row>
    <row r="33" spans="1:17" ht="13.5" customHeight="1" x14ac:dyDescent="0.3">
      <c r="A33" s="33">
        <v>24</v>
      </c>
      <c r="B33" s="24" t="s">
        <v>170</v>
      </c>
      <c r="C33" s="20" t="s">
        <v>46</v>
      </c>
      <c r="D33" s="4" t="s">
        <v>45</v>
      </c>
      <c r="E33" s="42">
        <f>'FB1'!T29+'FB2'!T29</f>
        <v>2328.89</v>
      </c>
      <c r="F33" s="42">
        <f>'FB1'!U29+'FB2'!U29</f>
        <v>0</v>
      </c>
      <c r="G33" s="42">
        <f>'FB1'!V29+'FB2'!V29</f>
        <v>30.01</v>
      </c>
      <c r="H33" s="42">
        <f t="shared" si="0"/>
        <v>30.01</v>
      </c>
      <c r="I33" s="42">
        <f t="shared" si="1"/>
        <v>2298.8799999999997</v>
      </c>
      <c r="J33" s="42">
        <f>'FB1'!AA29+'FB2'!AA29</f>
        <v>944.32</v>
      </c>
      <c r="K33" s="42">
        <f t="shared" si="2"/>
        <v>1354.5599999999995</v>
      </c>
      <c r="L33" s="4" t="s">
        <v>3</v>
      </c>
      <c r="M33" s="17" t="s">
        <v>44</v>
      </c>
      <c r="O33" s="101"/>
      <c r="Q33" s="101"/>
    </row>
    <row r="34" spans="1:17" ht="13.5" customHeight="1" x14ac:dyDescent="0.3">
      <c r="A34" s="33">
        <v>25</v>
      </c>
      <c r="B34" s="24" t="s">
        <v>171</v>
      </c>
      <c r="C34" s="20" t="s">
        <v>47</v>
      </c>
      <c r="D34" s="4" t="s">
        <v>25</v>
      </c>
      <c r="E34" s="42">
        <f>'FB1'!T30+'FB2'!T30</f>
        <v>2243.1373333333331</v>
      </c>
      <c r="F34" s="42">
        <f>'FB1'!U30+'FB2'!U30</f>
        <v>0</v>
      </c>
      <c r="G34" s="42">
        <f>'FB1'!V30+'FB2'!V30</f>
        <v>30.66</v>
      </c>
      <c r="H34" s="42">
        <f t="shared" si="0"/>
        <v>30.66</v>
      </c>
      <c r="I34" s="42">
        <f t="shared" si="1"/>
        <v>2212.4773333333333</v>
      </c>
      <c r="J34" s="42">
        <f>'FB1'!AA30+'FB2'!AA30</f>
        <v>43.01</v>
      </c>
      <c r="K34" s="42">
        <f t="shared" si="2"/>
        <v>2169.467333333333</v>
      </c>
      <c r="L34" s="4" t="s">
        <v>3</v>
      </c>
      <c r="M34" s="17" t="s">
        <v>44</v>
      </c>
      <c r="O34" s="101"/>
      <c r="Q34" s="101"/>
    </row>
    <row r="35" spans="1:17" ht="13.5" customHeight="1" x14ac:dyDescent="0.3">
      <c r="A35" s="33">
        <v>26</v>
      </c>
      <c r="B35" s="24" t="s">
        <v>172</v>
      </c>
      <c r="C35" s="20" t="s">
        <v>48</v>
      </c>
      <c r="D35" s="4" t="s">
        <v>30</v>
      </c>
      <c r="E35" s="42">
        <f>'FB1'!T31+'FB2'!T31</f>
        <v>2055.63</v>
      </c>
      <c r="F35" s="42">
        <f>'FB1'!U31+'FB2'!U31</f>
        <v>0</v>
      </c>
      <c r="G35" s="42">
        <f>'FB1'!V31+'FB2'!V31</f>
        <v>32.5</v>
      </c>
      <c r="H35" s="42">
        <f t="shared" si="0"/>
        <v>32.5</v>
      </c>
      <c r="I35" s="42">
        <f t="shared" si="1"/>
        <v>2023.13</v>
      </c>
      <c r="J35" s="42">
        <f>'FB1'!AA31+'FB2'!AA31</f>
        <v>288.07</v>
      </c>
      <c r="K35" s="42">
        <f t="shared" si="2"/>
        <v>1735.0600000000002</v>
      </c>
      <c r="L35" s="4" t="s">
        <v>3</v>
      </c>
      <c r="M35" s="17" t="s">
        <v>44</v>
      </c>
      <c r="O35" s="101"/>
      <c r="Q35" s="101"/>
    </row>
    <row r="36" spans="1:17" ht="13.5" customHeight="1" x14ac:dyDescent="0.3">
      <c r="A36" s="33">
        <v>27</v>
      </c>
      <c r="B36" s="26" t="s">
        <v>173</v>
      </c>
      <c r="C36" s="21" t="s">
        <v>49</v>
      </c>
      <c r="D36" s="4" t="s">
        <v>30</v>
      </c>
      <c r="E36" s="42">
        <f>'FB1'!T32+'FB2'!T32</f>
        <v>1648.64</v>
      </c>
      <c r="F36" s="42">
        <f>'FB1'!U32+'FB2'!U32</f>
        <v>0</v>
      </c>
      <c r="G36" s="42">
        <f>'FB1'!V32+'FB2'!V32</f>
        <v>23.01</v>
      </c>
      <c r="H36" s="42">
        <f t="shared" si="0"/>
        <v>23.01</v>
      </c>
      <c r="I36" s="42">
        <f t="shared" si="1"/>
        <v>1625.63</v>
      </c>
      <c r="J36" s="42">
        <f>'FB1'!AA32+'FB2'!AA32</f>
        <v>23.01</v>
      </c>
      <c r="K36" s="42">
        <f t="shared" si="2"/>
        <v>1602.6200000000001</v>
      </c>
      <c r="L36" s="4" t="s">
        <v>20</v>
      </c>
      <c r="M36" s="17" t="s">
        <v>44</v>
      </c>
      <c r="O36" s="101"/>
      <c r="Q36" s="101"/>
    </row>
    <row r="37" spans="1:17" ht="13.5" customHeight="1" x14ac:dyDescent="0.3">
      <c r="A37" s="33">
        <v>28</v>
      </c>
      <c r="B37" s="24" t="s">
        <v>174</v>
      </c>
      <c r="C37" s="20" t="s">
        <v>51</v>
      </c>
      <c r="D37" s="4" t="s">
        <v>307</v>
      </c>
      <c r="E37" s="42">
        <f>'FB1'!T33+'FB2'!T33</f>
        <v>4082.7673333333328</v>
      </c>
      <c r="F37" s="42">
        <f>'FB1'!U33+'FB2'!U33</f>
        <v>362.33</v>
      </c>
      <c r="G37" s="42">
        <f>'FB1'!V33+'FB2'!V33</f>
        <v>67.739999999999995</v>
      </c>
      <c r="H37" s="42">
        <f t="shared" si="0"/>
        <v>430.07</v>
      </c>
      <c r="I37" s="42">
        <f t="shared" si="1"/>
        <v>3652.6973333333326</v>
      </c>
      <c r="J37" s="42">
        <f>'FB1'!AA33+'FB2'!AA33</f>
        <v>1144.45</v>
      </c>
      <c r="K37" s="42">
        <f t="shared" si="2"/>
        <v>2508.2473333333328</v>
      </c>
      <c r="L37" s="4" t="s">
        <v>3</v>
      </c>
      <c r="M37" s="17" t="s">
        <v>44</v>
      </c>
      <c r="O37" s="101"/>
      <c r="Q37" s="101"/>
    </row>
    <row r="38" spans="1:17" ht="13.5" customHeight="1" x14ac:dyDescent="0.3">
      <c r="A38" s="33">
        <v>29</v>
      </c>
      <c r="B38" s="24" t="s">
        <v>175</v>
      </c>
      <c r="C38" s="20" t="s">
        <v>53</v>
      </c>
      <c r="D38" s="4" t="s">
        <v>308</v>
      </c>
      <c r="E38" s="42">
        <f>'FB1'!T34+'FB2'!T34</f>
        <v>4179.7693333333327</v>
      </c>
      <c r="F38" s="42">
        <f>'FB1'!U34+'FB2'!U34</f>
        <v>377.85</v>
      </c>
      <c r="G38" s="42">
        <f>'FB1'!V34+'FB2'!V34</f>
        <v>67.739999999999995</v>
      </c>
      <c r="H38" s="42">
        <f t="shared" si="0"/>
        <v>445.59000000000003</v>
      </c>
      <c r="I38" s="42">
        <f t="shared" si="1"/>
        <v>3734.1793333333326</v>
      </c>
      <c r="J38" s="42">
        <f>'FB1'!AA34+'FB2'!AA34</f>
        <v>445.59000000000003</v>
      </c>
      <c r="K38" s="42">
        <f t="shared" si="2"/>
        <v>3288.5893333333324</v>
      </c>
      <c r="L38" s="4" t="s">
        <v>20</v>
      </c>
      <c r="M38" s="17" t="s">
        <v>44</v>
      </c>
      <c r="O38" s="101"/>
      <c r="Q38" s="101"/>
    </row>
    <row r="39" spans="1:17" ht="13.5" customHeight="1" x14ac:dyDescent="0.3">
      <c r="A39" s="33">
        <v>30</v>
      </c>
      <c r="B39" s="24" t="s">
        <v>176</v>
      </c>
      <c r="C39" s="22" t="s">
        <v>54</v>
      </c>
      <c r="D39" s="4" t="s">
        <v>52</v>
      </c>
      <c r="E39" s="42">
        <f>'FB1'!T35+'FB2'!T35</f>
        <v>3343.3173333333334</v>
      </c>
      <c r="F39" s="42">
        <f>'FB1'!U35+'FB2'!U35</f>
        <v>134.57</v>
      </c>
      <c r="G39" s="42">
        <f>'FB1'!V35+'FB2'!V35</f>
        <v>55.93</v>
      </c>
      <c r="H39" s="42">
        <f t="shared" si="0"/>
        <v>190.5</v>
      </c>
      <c r="I39" s="42">
        <f t="shared" si="1"/>
        <v>3152.8173333333334</v>
      </c>
      <c r="J39" s="42">
        <f>'FB1'!AA35+'FB2'!AA35</f>
        <v>1287.8</v>
      </c>
      <c r="K39" s="42">
        <f t="shared" si="2"/>
        <v>1865.0173333333335</v>
      </c>
      <c r="L39" s="4" t="s">
        <v>20</v>
      </c>
      <c r="M39" s="17" t="s">
        <v>44</v>
      </c>
      <c r="O39" s="101"/>
      <c r="Q39" s="101"/>
    </row>
    <row r="40" spans="1:17" ht="13.5" customHeight="1" x14ac:dyDescent="0.3">
      <c r="A40" s="33">
        <v>31</v>
      </c>
      <c r="B40" s="27" t="s">
        <v>182</v>
      </c>
      <c r="C40" s="15" t="s">
        <v>59</v>
      </c>
      <c r="D40" s="4" t="s">
        <v>52</v>
      </c>
      <c r="E40" s="11">
        <f>'FE1'!O5+'FE2'!O5</f>
        <v>8285.86</v>
      </c>
      <c r="F40" s="11">
        <f>'FE1'!P5+'FE2'!P5</f>
        <v>749.71</v>
      </c>
      <c r="G40" s="11">
        <f>'FE1'!R5+'FE2'!R5</f>
        <v>0</v>
      </c>
      <c r="H40" s="42">
        <f t="shared" si="0"/>
        <v>749.71</v>
      </c>
      <c r="I40" s="42">
        <f t="shared" si="1"/>
        <v>7536.1500000000005</v>
      </c>
      <c r="J40" s="42">
        <f>'FE1'!V5+'FE2'!V5</f>
        <v>749.71</v>
      </c>
      <c r="K40" s="42">
        <f t="shared" si="2"/>
        <v>6786.4400000000005</v>
      </c>
      <c r="L40" s="3" t="s">
        <v>58</v>
      </c>
      <c r="M40" s="3" t="s">
        <v>57</v>
      </c>
      <c r="O40" s="200"/>
      <c r="Q40" s="200"/>
    </row>
    <row r="41" spans="1:17" ht="13.5" customHeight="1" x14ac:dyDescent="0.25">
      <c r="A41" s="33">
        <v>32</v>
      </c>
      <c r="B41" s="28" t="s">
        <v>184</v>
      </c>
      <c r="C41" s="10" t="s">
        <v>61</v>
      </c>
      <c r="D41" s="4" t="s">
        <v>60</v>
      </c>
      <c r="E41" s="11">
        <f>'FE1'!O6+'FE2'!O6</f>
        <v>4493.04</v>
      </c>
      <c r="F41" s="11">
        <f>'FE1'!P6+'FE2'!P6</f>
        <v>280.66999999999996</v>
      </c>
      <c r="G41" s="11">
        <f>'FE1'!R6+'FE2'!R6</f>
        <v>80.459999999999994</v>
      </c>
      <c r="H41" s="42">
        <f t="shared" si="0"/>
        <v>361.12999999999994</v>
      </c>
      <c r="I41" s="42">
        <f t="shared" si="1"/>
        <v>4131.91</v>
      </c>
      <c r="J41" s="42">
        <f>'FE1'!V6+'FE2'!V6</f>
        <v>861.13</v>
      </c>
      <c r="K41" s="42">
        <f t="shared" si="2"/>
        <v>3270.7799999999997</v>
      </c>
      <c r="L41" s="4" t="s">
        <v>58</v>
      </c>
      <c r="M41" s="4" t="s">
        <v>57</v>
      </c>
      <c r="O41" s="200"/>
      <c r="Q41" s="200"/>
    </row>
    <row r="42" spans="1:17" ht="13.5" customHeight="1" x14ac:dyDescent="0.3">
      <c r="A42" s="33">
        <v>33</v>
      </c>
      <c r="B42" s="28" t="s">
        <v>188</v>
      </c>
      <c r="C42" s="10" t="s">
        <v>63</v>
      </c>
      <c r="D42" s="4" t="s">
        <v>62</v>
      </c>
      <c r="E42" s="11">
        <f>'FE1'!O7+'FE2'!O7</f>
        <v>7799.8</v>
      </c>
      <c r="F42" s="11">
        <f>'FE1'!P7+'FE2'!P7</f>
        <v>666.14</v>
      </c>
      <c r="G42" s="11">
        <f>'FE1'!R7+'FE2'!R7</f>
        <v>93.76</v>
      </c>
      <c r="H42" s="42">
        <f t="shared" si="0"/>
        <v>759.9</v>
      </c>
      <c r="I42" s="42">
        <f t="shared" si="1"/>
        <v>7039.9000000000005</v>
      </c>
      <c r="J42" s="42">
        <f>'FE1'!V7+'FE2'!V7</f>
        <v>759.9</v>
      </c>
      <c r="K42" s="42">
        <f t="shared" si="2"/>
        <v>6280.0000000000009</v>
      </c>
      <c r="L42" s="4" t="s">
        <v>58</v>
      </c>
      <c r="M42" s="4" t="s">
        <v>57</v>
      </c>
      <c r="O42" s="200"/>
      <c r="Q42" s="200"/>
    </row>
    <row r="43" spans="1:17" ht="13.5" customHeight="1" x14ac:dyDescent="0.3">
      <c r="A43" s="33">
        <v>34</v>
      </c>
      <c r="B43" s="28" t="s">
        <v>190</v>
      </c>
      <c r="C43" s="10" t="s">
        <v>66</v>
      </c>
      <c r="D43" s="4" t="s">
        <v>297</v>
      </c>
      <c r="E43" s="11">
        <f>'FE1'!O8+'FE2'!O8</f>
        <v>21800</v>
      </c>
      <c r="F43" s="11">
        <f>'FE1'!P8+'FE2'!P8</f>
        <v>3589.98</v>
      </c>
      <c r="G43" s="11">
        <f>'FE1'!R8+'FE2'!R8</f>
        <v>112.52</v>
      </c>
      <c r="H43" s="42">
        <f t="shared" si="0"/>
        <v>3702.5</v>
      </c>
      <c r="I43" s="42">
        <f t="shared" si="1"/>
        <v>18097.5</v>
      </c>
      <c r="J43" s="42">
        <f>'FE1'!V8+'FE2'!V8</f>
        <v>7002.5</v>
      </c>
      <c r="K43" s="42">
        <f t="shared" si="2"/>
        <v>11095</v>
      </c>
      <c r="L43" s="4" t="s">
        <v>58</v>
      </c>
      <c r="M43" s="4" t="s">
        <v>57</v>
      </c>
      <c r="O43" s="200"/>
      <c r="Q43" s="200"/>
    </row>
    <row r="44" spans="1:17" ht="13.5" customHeight="1" x14ac:dyDescent="0.3">
      <c r="A44" s="33">
        <v>35</v>
      </c>
      <c r="B44" s="28" t="s">
        <v>204</v>
      </c>
      <c r="C44" s="11" t="s">
        <v>64</v>
      </c>
      <c r="D44" s="4" t="s">
        <v>17</v>
      </c>
      <c r="E44" s="11">
        <f>'FE1'!O9+'FE2'!O9</f>
        <v>5090</v>
      </c>
      <c r="F44" s="11">
        <f>'FE1'!P9+'FE2'!P9</f>
        <v>345.63</v>
      </c>
      <c r="G44" s="11">
        <f>'FE1'!R9+'FE2'!R9</f>
        <v>0</v>
      </c>
      <c r="H44" s="42">
        <f t="shared" si="0"/>
        <v>345.63</v>
      </c>
      <c r="I44" s="42">
        <f t="shared" si="1"/>
        <v>4744.37</v>
      </c>
      <c r="J44" s="42">
        <f>'FE1'!V9+'FE2'!V9</f>
        <v>345.63</v>
      </c>
      <c r="K44" s="42">
        <f t="shared" si="2"/>
        <v>4398.74</v>
      </c>
      <c r="L44" s="4" t="s">
        <v>58</v>
      </c>
      <c r="M44" s="4" t="s">
        <v>57</v>
      </c>
      <c r="O44" s="200"/>
      <c r="Q44" s="200"/>
    </row>
    <row r="45" spans="1:17" ht="13.5" customHeight="1" x14ac:dyDescent="0.25">
      <c r="A45" s="33">
        <v>36</v>
      </c>
      <c r="B45" s="28" t="s">
        <v>199</v>
      </c>
      <c r="C45" s="10" t="s">
        <v>69</v>
      </c>
      <c r="D45" s="4" t="s">
        <v>68</v>
      </c>
      <c r="E45" s="11">
        <f>'FE1'!O10+'FE2'!O10</f>
        <v>14247.9</v>
      </c>
      <c r="F45" s="11">
        <f>'FE1'!P10+'FE2'!P10</f>
        <v>1948.98</v>
      </c>
      <c r="G45" s="11">
        <f>'FE1'!R10+'FE2'!R10</f>
        <v>0</v>
      </c>
      <c r="H45" s="42">
        <f t="shared" si="0"/>
        <v>1948.98</v>
      </c>
      <c r="I45" s="42">
        <f t="shared" si="1"/>
        <v>12298.92</v>
      </c>
      <c r="J45" s="42">
        <f>'FE1'!V10+'FE2'!V10</f>
        <v>1948.98</v>
      </c>
      <c r="K45" s="42">
        <f t="shared" si="2"/>
        <v>10349.94</v>
      </c>
      <c r="L45" s="4" t="s">
        <v>58</v>
      </c>
      <c r="M45" s="4" t="s">
        <v>57</v>
      </c>
      <c r="O45" s="200"/>
      <c r="Q45" s="200"/>
    </row>
    <row r="46" spans="1:17" ht="13.5" customHeight="1" x14ac:dyDescent="0.3">
      <c r="A46" s="33">
        <v>37</v>
      </c>
      <c r="B46" s="28" t="s">
        <v>243</v>
      </c>
      <c r="C46" s="12" t="s">
        <v>239</v>
      </c>
      <c r="D46" s="4" t="s">
        <v>52</v>
      </c>
      <c r="E46" s="11">
        <f>'FE1'!O11+'FE2'!O11</f>
        <v>5280</v>
      </c>
      <c r="F46" s="11">
        <f>'FE1'!P11+'FE2'!P11</f>
        <v>366.3</v>
      </c>
      <c r="G46" s="11">
        <f>'FE1'!R11+'FE2'!R11</f>
        <v>0</v>
      </c>
      <c r="H46" s="42">
        <f t="shared" si="0"/>
        <v>366.3</v>
      </c>
      <c r="I46" s="42">
        <f t="shared" si="1"/>
        <v>4913.7</v>
      </c>
      <c r="J46" s="42">
        <f>'FE1'!V11+'FE2'!V11</f>
        <v>366.3</v>
      </c>
      <c r="K46" s="42">
        <f t="shared" si="2"/>
        <v>4547.3999999999996</v>
      </c>
      <c r="L46" s="4" t="s">
        <v>58</v>
      </c>
      <c r="M46" s="4" t="s">
        <v>57</v>
      </c>
      <c r="O46" s="200"/>
      <c r="Q46" s="200"/>
    </row>
    <row r="47" spans="1:17" ht="13.5" customHeight="1" x14ac:dyDescent="0.3">
      <c r="A47" s="33">
        <v>38</v>
      </c>
      <c r="B47" s="28" t="s">
        <v>299</v>
      </c>
      <c r="C47" s="12" t="s">
        <v>292</v>
      </c>
      <c r="D47" s="4" t="s">
        <v>296</v>
      </c>
      <c r="E47" s="11">
        <f>'FE1'!O12+'FE2'!O12</f>
        <v>5267.5</v>
      </c>
      <c r="F47" s="11">
        <f>'FE1'!P12+'FE2'!P12</f>
        <v>314.08000000000004</v>
      </c>
      <c r="G47" s="11">
        <f>'FE1'!R12+'FE2'!R12</f>
        <v>0</v>
      </c>
      <c r="H47" s="42">
        <f t="shared" si="0"/>
        <v>314.08000000000004</v>
      </c>
      <c r="I47" s="42">
        <f t="shared" si="1"/>
        <v>4953.42</v>
      </c>
      <c r="J47" s="42">
        <f>'FE1'!V12+'FE2'!V12</f>
        <v>314.08000000000004</v>
      </c>
      <c r="K47" s="42">
        <f t="shared" si="2"/>
        <v>4639.34</v>
      </c>
      <c r="L47" s="4" t="s">
        <v>58</v>
      </c>
      <c r="M47" s="4" t="s">
        <v>57</v>
      </c>
      <c r="O47" s="200"/>
      <c r="Q47" s="200"/>
    </row>
    <row r="48" spans="1:17" ht="13.5" customHeight="1" x14ac:dyDescent="0.3">
      <c r="A48" s="33">
        <v>39</v>
      </c>
      <c r="B48" s="28" t="s">
        <v>177</v>
      </c>
      <c r="C48" s="11" t="s">
        <v>71</v>
      </c>
      <c r="D48" s="4" t="s">
        <v>70</v>
      </c>
      <c r="E48" s="11">
        <f>'FE1'!O13+'FE2'!O13</f>
        <v>7400.2</v>
      </c>
      <c r="F48" s="11">
        <f>'FE1'!P13+'FE2'!P13</f>
        <v>602.20000000000005</v>
      </c>
      <c r="G48" s="11">
        <f>'FE1'!R13+'FE2'!R13</f>
        <v>0</v>
      </c>
      <c r="H48" s="42">
        <f t="shared" si="0"/>
        <v>602.20000000000005</v>
      </c>
      <c r="I48" s="42">
        <f t="shared" si="1"/>
        <v>6798</v>
      </c>
      <c r="J48" s="42">
        <f>'FE1'!V13+'FE2'!V13</f>
        <v>602.20000000000005</v>
      </c>
      <c r="K48" s="42">
        <f t="shared" si="2"/>
        <v>6195.8</v>
      </c>
      <c r="L48" s="4" t="s">
        <v>58</v>
      </c>
      <c r="M48" s="4" t="s">
        <v>6</v>
      </c>
      <c r="O48" s="200"/>
      <c r="Q48" s="200"/>
    </row>
    <row r="49" spans="1:17" ht="13.5" customHeight="1" x14ac:dyDescent="0.3">
      <c r="A49" s="33">
        <v>40</v>
      </c>
      <c r="B49" s="28" t="s">
        <v>181</v>
      </c>
      <c r="C49" s="10" t="s">
        <v>72</v>
      </c>
      <c r="D49" s="4" t="s">
        <v>17</v>
      </c>
      <c r="E49" s="11">
        <f>'FE1'!O14+'FE2'!O14</f>
        <v>5627.72</v>
      </c>
      <c r="F49" s="11">
        <f>'FE1'!P14+'FE2'!P14</f>
        <v>404.13</v>
      </c>
      <c r="G49" s="11">
        <f>'FE1'!R14+'FE2'!R14</f>
        <v>100</v>
      </c>
      <c r="H49" s="42">
        <f t="shared" si="0"/>
        <v>504.13</v>
      </c>
      <c r="I49" s="42">
        <f t="shared" si="1"/>
        <v>5123.59</v>
      </c>
      <c r="J49" s="42">
        <f>'FE1'!V14+'FE2'!V14</f>
        <v>504.13</v>
      </c>
      <c r="K49" s="42">
        <f t="shared" si="2"/>
        <v>4619.46</v>
      </c>
      <c r="L49" s="4" t="s">
        <v>58</v>
      </c>
      <c r="M49" s="4" t="s">
        <v>6</v>
      </c>
      <c r="O49" s="200"/>
      <c r="Q49" s="200"/>
    </row>
    <row r="50" spans="1:17" ht="13.5" customHeight="1" x14ac:dyDescent="0.3">
      <c r="A50" s="33">
        <v>41</v>
      </c>
      <c r="B50" s="28" t="s">
        <v>183</v>
      </c>
      <c r="C50" s="10" t="s">
        <v>74</v>
      </c>
      <c r="D50" s="4" t="s">
        <v>73</v>
      </c>
      <c r="E50" s="11">
        <f>'FE1'!O15+'FE2'!O15</f>
        <v>7400.2</v>
      </c>
      <c r="F50" s="11">
        <f>'FE1'!P15+'FE2'!P15</f>
        <v>602.20000000000005</v>
      </c>
      <c r="G50" s="11">
        <f>'FE1'!R15+'FE2'!R15</f>
        <v>0</v>
      </c>
      <c r="H50" s="42">
        <f t="shared" si="0"/>
        <v>602.20000000000005</v>
      </c>
      <c r="I50" s="42">
        <f t="shared" si="1"/>
        <v>6798</v>
      </c>
      <c r="J50" s="42">
        <f>'FE1'!V15+'FE2'!V15</f>
        <v>1602.2</v>
      </c>
      <c r="K50" s="42">
        <f t="shared" si="2"/>
        <v>5195.8</v>
      </c>
      <c r="L50" s="4" t="s">
        <v>58</v>
      </c>
      <c r="M50" s="4" t="s">
        <v>6</v>
      </c>
      <c r="O50" s="200"/>
      <c r="Q50" s="200"/>
    </row>
    <row r="51" spans="1:17" ht="13.5" customHeight="1" x14ac:dyDescent="0.3">
      <c r="A51" s="33">
        <v>42</v>
      </c>
      <c r="B51" s="28" t="s">
        <v>185</v>
      </c>
      <c r="C51" s="10" t="s">
        <v>76</v>
      </c>
      <c r="D51" s="4" t="s">
        <v>75</v>
      </c>
      <c r="E51" s="11">
        <f>'FE1'!O16+'FE2'!O16</f>
        <v>31293</v>
      </c>
      <c r="F51" s="11">
        <f>'FE1'!P16+'FE2'!P16</f>
        <v>4488.2300000000005</v>
      </c>
      <c r="G51" s="11">
        <f>'FE1'!R16+'FE2'!R16</f>
        <v>0</v>
      </c>
      <c r="H51" s="42">
        <f t="shared" si="0"/>
        <v>4488.2300000000005</v>
      </c>
      <c r="I51" s="42">
        <f t="shared" si="1"/>
        <v>26804.77</v>
      </c>
      <c r="J51" s="42">
        <f>'FE1'!V16+'FE2'!V16</f>
        <v>4488.2300000000005</v>
      </c>
      <c r="K51" s="42">
        <f t="shared" si="2"/>
        <v>22316.54</v>
      </c>
      <c r="L51" s="4" t="s">
        <v>58</v>
      </c>
      <c r="M51" s="4" t="s">
        <v>6</v>
      </c>
      <c r="O51" s="200"/>
      <c r="Q51" s="200"/>
    </row>
    <row r="52" spans="1:17" ht="13.5" customHeight="1" x14ac:dyDescent="0.3">
      <c r="A52" s="33">
        <v>43</v>
      </c>
      <c r="B52" s="28" t="s">
        <v>189</v>
      </c>
      <c r="C52" s="10" t="s">
        <v>77</v>
      </c>
      <c r="D52" s="4" t="s">
        <v>17</v>
      </c>
      <c r="E52" s="11">
        <f>'FE1'!O17+'FE2'!O17</f>
        <v>9208</v>
      </c>
      <c r="F52" s="11">
        <f>'FE1'!P17+'FE2'!P17</f>
        <v>905.12</v>
      </c>
      <c r="G52" s="11">
        <f>'FE1'!R17+'FE2'!R17</f>
        <v>75</v>
      </c>
      <c r="H52" s="42">
        <f t="shared" si="0"/>
        <v>980.12</v>
      </c>
      <c r="I52" s="42">
        <f t="shared" si="1"/>
        <v>8227.8799999999992</v>
      </c>
      <c r="J52" s="42">
        <f>'FE1'!V17+'FE2'!V17</f>
        <v>980.12</v>
      </c>
      <c r="K52" s="42">
        <f t="shared" si="2"/>
        <v>7247.7599999999993</v>
      </c>
      <c r="L52" s="4" t="s">
        <v>58</v>
      </c>
      <c r="M52" s="4" t="s">
        <v>6</v>
      </c>
      <c r="O52" s="200"/>
      <c r="Q52" s="200"/>
    </row>
    <row r="53" spans="1:17" ht="13.5" customHeight="1" x14ac:dyDescent="0.3">
      <c r="A53" s="33">
        <v>44</v>
      </c>
      <c r="B53" s="28" t="s">
        <v>194</v>
      </c>
      <c r="C53" s="10" t="s">
        <v>79</v>
      </c>
      <c r="D53" s="6" t="s">
        <v>78</v>
      </c>
      <c r="E53" s="11">
        <f>'FE1'!O18+'FE2'!O18</f>
        <v>5870.92</v>
      </c>
      <c r="F53" s="11">
        <f>'FE1'!P18+'FE2'!P18</f>
        <v>430.53</v>
      </c>
      <c r="G53" s="11">
        <f>'FE1'!R18+'FE2'!R18</f>
        <v>0</v>
      </c>
      <c r="H53" s="42">
        <f t="shared" si="0"/>
        <v>430.53</v>
      </c>
      <c r="I53" s="42">
        <f t="shared" si="1"/>
        <v>5440.39</v>
      </c>
      <c r="J53" s="42">
        <f>'FE1'!V18+'FE2'!V18</f>
        <v>430.53</v>
      </c>
      <c r="K53" s="42">
        <f t="shared" si="2"/>
        <v>5009.8600000000006</v>
      </c>
      <c r="L53" s="4" t="s">
        <v>58</v>
      </c>
      <c r="M53" s="6" t="s">
        <v>6</v>
      </c>
      <c r="O53" s="200"/>
      <c r="Q53" s="200"/>
    </row>
    <row r="54" spans="1:17" ht="13.5" customHeight="1" x14ac:dyDescent="0.3">
      <c r="A54" s="33">
        <v>45</v>
      </c>
      <c r="B54" s="28" t="s">
        <v>195</v>
      </c>
      <c r="C54" s="11" t="s">
        <v>80</v>
      </c>
      <c r="D54" s="4" t="s">
        <v>9</v>
      </c>
      <c r="E54" s="11">
        <f>'FE1'!O19+'FE2'!O19</f>
        <v>5976</v>
      </c>
      <c r="F54" s="11">
        <f>'FE1'!P19+'FE2'!P19</f>
        <v>442.03</v>
      </c>
      <c r="G54" s="11">
        <f>'FE1'!R19+'FE2'!R19</f>
        <v>0</v>
      </c>
      <c r="H54" s="42">
        <f t="shared" si="0"/>
        <v>442.03</v>
      </c>
      <c r="I54" s="42">
        <f t="shared" si="1"/>
        <v>5533.97</v>
      </c>
      <c r="J54" s="42">
        <f>'FE1'!V19+'FE2'!V19</f>
        <v>442.03</v>
      </c>
      <c r="K54" s="42">
        <f t="shared" si="2"/>
        <v>5091.9400000000005</v>
      </c>
      <c r="L54" s="4" t="s">
        <v>58</v>
      </c>
      <c r="M54" s="4" t="s">
        <v>6</v>
      </c>
      <c r="O54" s="200"/>
      <c r="Q54" s="200"/>
    </row>
    <row r="55" spans="1:17" ht="13.5" customHeight="1" x14ac:dyDescent="0.3">
      <c r="A55" s="33">
        <v>46</v>
      </c>
      <c r="B55" s="28" t="s">
        <v>205</v>
      </c>
      <c r="C55" s="11" t="s">
        <v>81</v>
      </c>
      <c r="D55" s="4" t="s">
        <v>17</v>
      </c>
      <c r="E55" s="11">
        <f>'FE1'!O20+'FE2'!O20</f>
        <v>3282</v>
      </c>
      <c r="F55" s="11">
        <f>'FE1'!P20+'FE2'!P20</f>
        <v>188.01999999999998</v>
      </c>
      <c r="G55" s="11">
        <f>'FE1'!R20+'FE2'!R20</f>
        <v>0</v>
      </c>
      <c r="H55" s="42">
        <f t="shared" si="0"/>
        <v>188.01999999999998</v>
      </c>
      <c r="I55" s="42">
        <f t="shared" si="1"/>
        <v>3093.98</v>
      </c>
      <c r="J55" s="42">
        <f>'FE1'!V20+'FE2'!V20</f>
        <v>188.01999999999998</v>
      </c>
      <c r="K55" s="42">
        <f t="shared" si="2"/>
        <v>2905.96</v>
      </c>
      <c r="L55" s="4" t="s">
        <v>58</v>
      </c>
      <c r="M55" s="4" t="s">
        <v>6</v>
      </c>
      <c r="O55" s="200"/>
      <c r="Q55" s="200"/>
    </row>
    <row r="56" spans="1:17" ht="13.5" customHeight="1" x14ac:dyDescent="0.3">
      <c r="A56" s="33">
        <v>47</v>
      </c>
      <c r="B56" s="28" t="s">
        <v>202</v>
      </c>
      <c r="C56" s="11" t="s">
        <v>82</v>
      </c>
      <c r="D56" s="9" t="s">
        <v>12</v>
      </c>
      <c r="E56" s="11">
        <f>'FE1'!O21+'FE2'!O21</f>
        <v>7453.2</v>
      </c>
      <c r="F56" s="11">
        <f>'FE1'!P21+'FE2'!P21</f>
        <v>641.71</v>
      </c>
      <c r="G56" s="11">
        <f>'FE1'!R21+'FE2'!R21</f>
        <v>0</v>
      </c>
      <c r="H56" s="42">
        <f t="shared" si="0"/>
        <v>641.71</v>
      </c>
      <c r="I56" s="42">
        <f t="shared" si="1"/>
        <v>6811.49</v>
      </c>
      <c r="J56" s="42">
        <f>'FE1'!V21+'FE2'!V21</f>
        <v>1641.71</v>
      </c>
      <c r="K56" s="42">
        <f t="shared" si="2"/>
        <v>5169.78</v>
      </c>
      <c r="L56" s="9" t="s">
        <v>58</v>
      </c>
      <c r="M56" s="9" t="s">
        <v>6</v>
      </c>
      <c r="O56" s="200"/>
      <c r="Q56" s="200"/>
    </row>
    <row r="57" spans="1:17" ht="13.5" customHeight="1" x14ac:dyDescent="0.3">
      <c r="A57" s="33">
        <v>48</v>
      </c>
      <c r="B57" s="28" t="s">
        <v>198</v>
      </c>
      <c r="C57" s="10" t="s">
        <v>84</v>
      </c>
      <c r="D57" s="4" t="s">
        <v>302</v>
      </c>
      <c r="E57" s="11">
        <f>'FE1'!O22+'FE2'!O22</f>
        <v>20765</v>
      </c>
      <c r="F57" s="11">
        <f>'FE1'!P22+'FE2'!P22</f>
        <v>3363.49</v>
      </c>
      <c r="G57" s="11">
        <f>'FE1'!R22+'FE2'!R22</f>
        <v>474.24</v>
      </c>
      <c r="H57" s="42">
        <f t="shared" si="0"/>
        <v>3837.7299999999996</v>
      </c>
      <c r="I57" s="42">
        <f t="shared" si="1"/>
        <v>16927.27</v>
      </c>
      <c r="J57" s="42">
        <f>'FE1'!V22+'FE2'!V22</f>
        <v>5258.1299999999992</v>
      </c>
      <c r="K57" s="42">
        <f t="shared" si="2"/>
        <v>11669.140000000001</v>
      </c>
      <c r="L57" s="9" t="s">
        <v>58</v>
      </c>
      <c r="M57" s="9" t="s">
        <v>11</v>
      </c>
      <c r="O57" s="200"/>
      <c r="Q57" s="200"/>
    </row>
    <row r="58" spans="1:17" ht="13.5" customHeight="1" x14ac:dyDescent="0.3">
      <c r="A58" s="33">
        <v>49</v>
      </c>
      <c r="B58" s="28" t="s">
        <v>220</v>
      </c>
      <c r="C58" s="12" t="s">
        <v>132</v>
      </c>
      <c r="D58" s="4" t="s">
        <v>303</v>
      </c>
      <c r="E58" s="11">
        <f>'FE1'!O23+'FE2'!O23</f>
        <v>9000</v>
      </c>
      <c r="F58" s="11">
        <f>'FE1'!P23+'FE2'!P23</f>
        <v>867.82</v>
      </c>
      <c r="G58" s="11">
        <f>'FE1'!R23+'FE2'!R23</f>
        <v>0</v>
      </c>
      <c r="H58" s="42">
        <f t="shared" si="0"/>
        <v>867.82</v>
      </c>
      <c r="I58" s="42">
        <f t="shared" si="1"/>
        <v>8132.18</v>
      </c>
      <c r="J58" s="42">
        <f>'FE1'!V23+'FE2'!V23</f>
        <v>867.82</v>
      </c>
      <c r="K58" s="42">
        <f t="shared" si="2"/>
        <v>7264.3600000000006</v>
      </c>
      <c r="L58" s="4" t="s">
        <v>67</v>
      </c>
      <c r="M58" s="4" t="s">
        <v>11</v>
      </c>
      <c r="O58" s="200"/>
      <c r="Q58" s="200"/>
    </row>
    <row r="59" spans="1:17" ht="13.5" customHeight="1" x14ac:dyDescent="0.3">
      <c r="A59" s="33">
        <v>50</v>
      </c>
      <c r="B59" s="28" t="s">
        <v>180</v>
      </c>
      <c r="C59" s="10" t="s">
        <v>86</v>
      </c>
      <c r="D59" s="4" t="s">
        <v>304</v>
      </c>
      <c r="E59" s="11">
        <f>'FE1'!O24+'FE2'!O24</f>
        <v>9349.9375</v>
      </c>
      <c r="F59" s="11">
        <f>'FE1'!P24+'FE2'!P24</f>
        <v>930.52</v>
      </c>
      <c r="G59" s="11">
        <f>'FE1'!R24+'FE2'!R24</f>
        <v>0</v>
      </c>
      <c r="H59" s="42">
        <f t="shared" si="0"/>
        <v>930.52</v>
      </c>
      <c r="I59" s="42">
        <f t="shared" si="1"/>
        <v>8419.4174999999996</v>
      </c>
      <c r="J59" s="42">
        <f>'FE1'!V24+'FE2'!V24</f>
        <v>986.62</v>
      </c>
      <c r="K59" s="42">
        <f t="shared" si="2"/>
        <v>7432.7974999999997</v>
      </c>
      <c r="L59" s="4" t="s">
        <v>58</v>
      </c>
      <c r="M59" s="4" t="s">
        <v>309</v>
      </c>
      <c r="O59" s="200"/>
      <c r="Q59" s="200"/>
    </row>
    <row r="60" spans="1:17" ht="13.5" customHeight="1" x14ac:dyDescent="0.3">
      <c r="A60" s="33">
        <v>51</v>
      </c>
      <c r="B60" s="28" t="s">
        <v>207</v>
      </c>
      <c r="C60" s="11" t="s">
        <v>87</v>
      </c>
      <c r="D60" s="4" t="s">
        <v>17</v>
      </c>
      <c r="E60" s="11">
        <f>'FE1'!O25+'FE2'!O25</f>
        <v>3562</v>
      </c>
      <c r="F60" s="11">
        <f>'FE1'!P25+'FE2'!P25</f>
        <v>205.94</v>
      </c>
      <c r="G60" s="11">
        <f>'FE1'!R25+'FE2'!R25</f>
        <v>0</v>
      </c>
      <c r="H60" s="42">
        <f t="shared" si="0"/>
        <v>205.94</v>
      </c>
      <c r="I60" s="42">
        <f t="shared" si="1"/>
        <v>3356.06</v>
      </c>
      <c r="J60" s="42">
        <f>'FE1'!V25+'FE2'!V25</f>
        <v>205.94</v>
      </c>
      <c r="K60" s="42">
        <f t="shared" si="2"/>
        <v>3150.12</v>
      </c>
      <c r="L60" s="4" t="s">
        <v>85</v>
      </c>
      <c r="M60" s="4" t="s">
        <v>14</v>
      </c>
      <c r="O60" s="200"/>
      <c r="Q60" s="200"/>
    </row>
    <row r="61" spans="1:17" ht="13.5" customHeight="1" x14ac:dyDescent="0.3">
      <c r="A61" s="33">
        <v>52</v>
      </c>
      <c r="B61" s="28" t="s">
        <v>236</v>
      </c>
      <c r="C61" s="11" t="s">
        <v>232</v>
      </c>
      <c r="D61" s="4" t="s">
        <v>17</v>
      </c>
      <c r="E61" s="11">
        <f>'FE1'!O26+'FE2'!O26</f>
        <v>5116</v>
      </c>
      <c r="F61" s="11">
        <f>'FE1'!P26+'FE2'!P26</f>
        <v>348.45</v>
      </c>
      <c r="G61" s="11">
        <f>'FE1'!R26+'FE2'!R26</f>
        <v>0</v>
      </c>
      <c r="H61" s="42">
        <f t="shared" si="0"/>
        <v>348.45</v>
      </c>
      <c r="I61" s="42">
        <f t="shared" si="1"/>
        <v>4767.55</v>
      </c>
      <c r="J61" s="42">
        <f>'FE1'!V26+'FE2'!V26</f>
        <v>348.45</v>
      </c>
      <c r="K61" s="42">
        <f t="shared" si="2"/>
        <v>4419.1000000000004</v>
      </c>
      <c r="L61" s="4" t="s">
        <v>58</v>
      </c>
      <c r="M61" s="4" t="s">
        <v>14</v>
      </c>
      <c r="O61" s="200"/>
      <c r="Q61" s="200"/>
    </row>
    <row r="62" spans="1:17" ht="13.5" customHeight="1" x14ac:dyDescent="0.3">
      <c r="A62" s="33">
        <v>53</v>
      </c>
      <c r="B62" s="28" t="s">
        <v>212</v>
      </c>
      <c r="C62" s="6" t="s">
        <v>241</v>
      </c>
      <c r="D62" s="4" t="s">
        <v>17</v>
      </c>
      <c r="E62" s="11">
        <f>'FE1'!O27+'FE2'!O27</f>
        <v>6039.7999999999993</v>
      </c>
      <c r="F62" s="11">
        <f>'FE1'!P27+'FE2'!P27</f>
        <v>448.96</v>
      </c>
      <c r="G62" s="11">
        <f>'FE1'!R27+'FE2'!R27</f>
        <v>0</v>
      </c>
      <c r="H62" s="42">
        <f t="shared" si="0"/>
        <v>448.96</v>
      </c>
      <c r="I62" s="42">
        <f t="shared" si="1"/>
        <v>5590.8399999999992</v>
      </c>
      <c r="J62" s="42">
        <f>'FE1'!V27+'FE2'!V27</f>
        <v>448.96</v>
      </c>
      <c r="K62" s="42">
        <f t="shared" si="2"/>
        <v>5141.8799999999992</v>
      </c>
      <c r="L62" s="4" t="s">
        <v>58</v>
      </c>
      <c r="M62" s="4" t="s">
        <v>14</v>
      </c>
      <c r="O62" s="200"/>
      <c r="Q62" s="200"/>
    </row>
    <row r="63" spans="1:17" ht="13.5" customHeight="1" x14ac:dyDescent="0.3">
      <c r="A63" s="33">
        <v>54</v>
      </c>
      <c r="B63" s="28" t="s">
        <v>213</v>
      </c>
      <c r="C63" s="6" t="s">
        <v>88</v>
      </c>
      <c r="D63" s="4" t="s">
        <v>17</v>
      </c>
      <c r="E63" s="11">
        <f>'FE1'!O28+'FE2'!O28</f>
        <v>6660.3799999999992</v>
      </c>
      <c r="F63" s="11">
        <f>'FE1'!P28+'FE2'!P28</f>
        <v>409.03</v>
      </c>
      <c r="G63" s="11">
        <f>'FE1'!R28+'FE2'!R28</f>
        <v>0</v>
      </c>
      <c r="H63" s="42">
        <f t="shared" si="0"/>
        <v>409.03</v>
      </c>
      <c r="I63" s="42">
        <f t="shared" si="1"/>
        <v>6251.3499999999995</v>
      </c>
      <c r="J63" s="42">
        <f>'FE1'!V28+'FE2'!V28</f>
        <v>409.7</v>
      </c>
      <c r="K63" s="42">
        <f t="shared" si="2"/>
        <v>5841.65</v>
      </c>
      <c r="L63" s="4" t="s">
        <v>58</v>
      </c>
      <c r="M63" s="4" t="s">
        <v>14</v>
      </c>
      <c r="O63" s="200"/>
      <c r="Q63" s="200"/>
    </row>
    <row r="64" spans="1:17" ht="13.5" customHeight="1" x14ac:dyDescent="0.3">
      <c r="A64" s="33">
        <v>55</v>
      </c>
      <c r="B64" s="28" t="s">
        <v>214</v>
      </c>
      <c r="C64" s="6" t="s">
        <v>89</v>
      </c>
      <c r="D64" s="4" t="s">
        <v>17</v>
      </c>
      <c r="E64" s="11">
        <f>'FE1'!O29+'FE2'!O29</f>
        <v>8396</v>
      </c>
      <c r="F64" s="11">
        <f>'FE1'!P29+'FE2'!P29</f>
        <v>770.56</v>
      </c>
      <c r="G64" s="11">
        <f>'FE1'!R29+'FE2'!R29</f>
        <v>0</v>
      </c>
      <c r="H64" s="42">
        <f t="shared" si="0"/>
        <v>770.56</v>
      </c>
      <c r="I64" s="42">
        <f t="shared" si="1"/>
        <v>7625.4400000000005</v>
      </c>
      <c r="J64" s="42">
        <f>'FE1'!V29+'FE2'!V29</f>
        <v>770.56</v>
      </c>
      <c r="K64" s="42">
        <f t="shared" si="2"/>
        <v>6854.880000000001</v>
      </c>
      <c r="L64" s="4" t="s">
        <v>58</v>
      </c>
      <c r="M64" s="4" t="s">
        <v>14</v>
      </c>
      <c r="O64" s="200"/>
      <c r="Q64" s="200"/>
    </row>
    <row r="65" spans="1:17" ht="13.5" customHeight="1" x14ac:dyDescent="0.3">
      <c r="A65" s="33">
        <v>56</v>
      </c>
      <c r="B65" s="28" t="s">
        <v>209</v>
      </c>
      <c r="C65" s="6" t="s">
        <v>90</v>
      </c>
      <c r="D65" s="4" t="s">
        <v>17</v>
      </c>
      <c r="E65" s="11">
        <f>'FE1'!O30+'FE2'!O30</f>
        <v>6020</v>
      </c>
      <c r="F65" s="11">
        <f>'FE1'!P30+'FE2'!P30</f>
        <v>446.8</v>
      </c>
      <c r="G65" s="11">
        <f>'FE1'!R30+'FE2'!R30</f>
        <v>0</v>
      </c>
      <c r="H65" s="42">
        <f t="shared" si="0"/>
        <v>446.8</v>
      </c>
      <c r="I65" s="42">
        <f t="shared" si="1"/>
        <v>5573.2</v>
      </c>
      <c r="J65" s="42">
        <f>'FE1'!V30+'FE2'!V30</f>
        <v>446.8</v>
      </c>
      <c r="K65" s="42">
        <f t="shared" si="2"/>
        <v>5126.3999999999996</v>
      </c>
      <c r="L65" s="4" t="s">
        <v>58</v>
      </c>
      <c r="M65" s="4" t="s">
        <v>14</v>
      </c>
      <c r="O65" s="200"/>
      <c r="Q65" s="200"/>
    </row>
    <row r="66" spans="1:17" ht="13.5" customHeight="1" x14ac:dyDescent="0.3">
      <c r="A66" s="33">
        <v>57</v>
      </c>
      <c r="B66" s="28" t="s">
        <v>210</v>
      </c>
      <c r="C66" s="6" t="s">
        <v>91</v>
      </c>
      <c r="D66" s="4" t="s">
        <v>14</v>
      </c>
      <c r="E66" s="11">
        <f>'FE1'!O31+'FE2'!O31</f>
        <v>5894</v>
      </c>
      <c r="F66" s="11">
        <f>'FE1'!P31+'FE2'!P31</f>
        <v>433.1</v>
      </c>
      <c r="G66" s="11">
        <f>'FE1'!R31+'FE2'!R31</f>
        <v>0</v>
      </c>
      <c r="H66" s="42">
        <f t="shared" si="0"/>
        <v>433.1</v>
      </c>
      <c r="I66" s="42">
        <f t="shared" si="1"/>
        <v>5460.9</v>
      </c>
      <c r="J66" s="42">
        <f>'FE1'!V31+'FE2'!V31</f>
        <v>433.1</v>
      </c>
      <c r="K66" s="42">
        <f t="shared" si="2"/>
        <v>5027.7999999999993</v>
      </c>
      <c r="L66" s="4" t="s">
        <v>58</v>
      </c>
      <c r="M66" s="4" t="s">
        <v>14</v>
      </c>
      <c r="O66" s="200"/>
      <c r="Q66" s="200"/>
    </row>
    <row r="67" spans="1:17" ht="13.5" customHeight="1" x14ac:dyDescent="0.3">
      <c r="A67" s="33">
        <v>58</v>
      </c>
      <c r="B67" s="28" t="s">
        <v>217</v>
      </c>
      <c r="C67" s="10" t="s">
        <v>92</v>
      </c>
      <c r="D67" s="4" t="s">
        <v>17</v>
      </c>
      <c r="E67" s="11">
        <f>'FE1'!O32+'FE2'!O32</f>
        <v>4220</v>
      </c>
      <c r="F67" s="11">
        <f>'FE1'!P32+'FE2'!P32</f>
        <v>256.22000000000003</v>
      </c>
      <c r="G67" s="11">
        <f>'FE1'!R32+'FE2'!R32</f>
        <v>0</v>
      </c>
      <c r="H67" s="42">
        <f t="shared" si="0"/>
        <v>256.22000000000003</v>
      </c>
      <c r="I67" s="42">
        <f t="shared" si="1"/>
        <v>3963.7799999999997</v>
      </c>
      <c r="J67" s="42">
        <f>'FE1'!V32+'FE2'!V32</f>
        <v>256.22000000000003</v>
      </c>
      <c r="K67" s="42">
        <f t="shared" si="2"/>
        <v>3707.5599999999995</v>
      </c>
      <c r="L67" s="4" t="s">
        <v>58</v>
      </c>
      <c r="M67" s="4" t="s">
        <v>14</v>
      </c>
      <c r="O67" s="200"/>
      <c r="Q67" s="200"/>
    </row>
    <row r="68" spans="1:17" ht="13.5" customHeight="1" x14ac:dyDescent="0.3">
      <c r="A68" s="33">
        <v>59</v>
      </c>
      <c r="B68" s="28" t="s">
        <v>216</v>
      </c>
      <c r="C68" s="11" t="s">
        <v>93</v>
      </c>
      <c r="D68" s="4" t="s">
        <v>310</v>
      </c>
      <c r="E68" s="11">
        <f>'FE1'!O33+'FE2'!O33</f>
        <v>5693.75</v>
      </c>
      <c r="F68" s="11">
        <f>'FE1'!P33+'FE2'!P33</f>
        <v>411.32000000000005</v>
      </c>
      <c r="G68" s="11">
        <f>'FE1'!R33+'FE2'!R33</f>
        <v>0</v>
      </c>
      <c r="H68" s="42">
        <f t="shared" si="0"/>
        <v>411.32000000000005</v>
      </c>
      <c r="I68" s="42">
        <f t="shared" si="1"/>
        <v>5282.43</v>
      </c>
      <c r="J68" s="42">
        <f>'FE1'!V33+'FE2'!V33</f>
        <v>411.32000000000005</v>
      </c>
      <c r="K68" s="42">
        <f t="shared" si="2"/>
        <v>4871.1100000000006</v>
      </c>
      <c r="L68" s="4" t="s">
        <v>58</v>
      </c>
      <c r="M68" s="4" t="s">
        <v>309</v>
      </c>
      <c r="O68" s="200"/>
      <c r="Q68" s="200"/>
    </row>
    <row r="69" spans="1:17" ht="13.5" customHeight="1" x14ac:dyDescent="0.3">
      <c r="A69" s="33">
        <v>60</v>
      </c>
      <c r="B69" s="28" t="s">
        <v>218</v>
      </c>
      <c r="C69" s="12" t="s">
        <v>133</v>
      </c>
      <c r="D69" s="4" t="s">
        <v>17</v>
      </c>
      <c r="E69" s="11">
        <f>'FE1'!O34+'FE2'!O34</f>
        <v>5420</v>
      </c>
      <c r="F69" s="11">
        <f>'FE1'!P34+'FE2'!P34</f>
        <v>381.52</v>
      </c>
      <c r="G69" s="11">
        <f>'FE1'!R34+'FE2'!R34</f>
        <v>0</v>
      </c>
      <c r="H69" s="42">
        <f t="shared" si="0"/>
        <v>381.52</v>
      </c>
      <c r="I69" s="42">
        <f t="shared" si="1"/>
        <v>5038.4799999999996</v>
      </c>
      <c r="J69" s="42">
        <f>'FE1'!V34+'FE2'!V34</f>
        <v>381.52</v>
      </c>
      <c r="K69" s="42">
        <f t="shared" si="2"/>
        <v>4656.9599999999991</v>
      </c>
      <c r="L69" s="4" t="s">
        <v>58</v>
      </c>
      <c r="M69" s="4" t="s">
        <v>14</v>
      </c>
      <c r="O69" s="200"/>
      <c r="Q69" s="200"/>
    </row>
    <row r="70" spans="1:17" ht="13.5" customHeight="1" x14ac:dyDescent="0.3">
      <c r="A70" s="33">
        <v>61</v>
      </c>
      <c r="B70" s="28" t="s">
        <v>219</v>
      </c>
      <c r="C70" s="12" t="s">
        <v>134</v>
      </c>
      <c r="D70" s="4" t="s">
        <v>17</v>
      </c>
      <c r="E70" s="11">
        <f>'FE1'!O35+'FE2'!O35</f>
        <v>5420</v>
      </c>
      <c r="F70" s="11">
        <f>'FE1'!P35+'FE2'!P35</f>
        <v>381.52</v>
      </c>
      <c r="G70" s="11">
        <f>'FE1'!R35+'FE2'!R35</f>
        <v>0</v>
      </c>
      <c r="H70" s="42">
        <f t="shared" si="0"/>
        <v>381.52</v>
      </c>
      <c r="I70" s="42">
        <f t="shared" si="1"/>
        <v>5038.4799999999996</v>
      </c>
      <c r="J70" s="42">
        <f>'FE1'!V35+'FE2'!V35</f>
        <v>381.52</v>
      </c>
      <c r="K70" s="42">
        <f t="shared" si="2"/>
        <v>4656.9599999999991</v>
      </c>
      <c r="L70" s="4" t="s">
        <v>58</v>
      </c>
      <c r="M70" s="4" t="s">
        <v>14</v>
      </c>
      <c r="O70" s="200"/>
      <c r="Q70" s="200"/>
    </row>
    <row r="71" spans="1:17" ht="13.5" customHeight="1" x14ac:dyDescent="0.3">
      <c r="A71" s="33">
        <v>62</v>
      </c>
      <c r="B71" s="28" t="s">
        <v>220</v>
      </c>
      <c r="C71" s="13" t="s">
        <v>233</v>
      </c>
      <c r="D71" s="4" t="s">
        <v>17</v>
      </c>
      <c r="E71" s="11">
        <f>'FE1'!O36+'FE2'!O36</f>
        <v>5120</v>
      </c>
      <c r="F71" s="11">
        <f>'FE1'!P36+'FE2'!P36</f>
        <v>348.88</v>
      </c>
      <c r="G71" s="11">
        <f>'FE1'!R36+'FE2'!R36</f>
        <v>0</v>
      </c>
      <c r="H71" s="42">
        <f t="shared" si="0"/>
        <v>348.88</v>
      </c>
      <c r="I71" s="42">
        <f t="shared" si="1"/>
        <v>4771.12</v>
      </c>
      <c r="J71" s="42">
        <f>'FE1'!V36+'FE2'!V36</f>
        <v>348.88</v>
      </c>
      <c r="K71" s="42">
        <f t="shared" si="2"/>
        <v>4422.24</v>
      </c>
      <c r="L71" s="4" t="s">
        <v>58</v>
      </c>
      <c r="M71" s="4" t="s">
        <v>14</v>
      </c>
      <c r="O71" s="200"/>
      <c r="Q71" s="200"/>
    </row>
    <row r="72" spans="1:17" ht="13.5" customHeight="1" x14ac:dyDescent="0.25">
      <c r="A72" s="33">
        <v>63</v>
      </c>
      <c r="B72" s="28" t="s">
        <v>186</v>
      </c>
      <c r="C72" s="13" t="s">
        <v>96</v>
      </c>
      <c r="D72" s="4" t="s">
        <v>95</v>
      </c>
      <c r="E72" s="11">
        <f>'FE1'!O37+'FE2'!O37</f>
        <v>6488.5719999999992</v>
      </c>
      <c r="F72" s="11">
        <f>'FE1'!P37+'FE2'!P37</f>
        <v>497.8</v>
      </c>
      <c r="G72" s="11">
        <f>'FE1'!R37+'FE2'!R37</f>
        <v>100</v>
      </c>
      <c r="H72" s="42">
        <f t="shared" si="0"/>
        <v>597.79999999999995</v>
      </c>
      <c r="I72" s="42">
        <f t="shared" si="1"/>
        <v>5890.771999999999</v>
      </c>
      <c r="J72" s="42">
        <f>'FE1'!V37+'FE2'!V37</f>
        <v>597.79999999999995</v>
      </c>
      <c r="K72" s="42">
        <f t="shared" si="2"/>
        <v>5292.9719999999988</v>
      </c>
      <c r="L72" s="4" t="s">
        <v>58</v>
      </c>
      <c r="M72" s="4" t="s">
        <v>94</v>
      </c>
      <c r="O72" s="200"/>
      <c r="Q72" s="200"/>
    </row>
    <row r="73" spans="1:17" ht="13.5" customHeight="1" x14ac:dyDescent="0.3">
      <c r="A73" s="33">
        <v>64</v>
      </c>
      <c r="B73" s="26" t="s">
        <v>197</v>
      </c>
      <c r="C73" s="10" t="s">
        <v>98</v>
      </c>
      <c r="D73" s="4" t="s">
        <v>97</v>
      </c>
      <c r="E73" s="11">
        <f>'FE1'!O38+'FE2'!O38</f>
        <v>33280.199999999997</v>
      </c>
      <c r="F73" s="11">
        <f>'FE1'!P38+'FE2'!P38</f>
        <v>6353.42</v>
      </c>
      <c r="G73" s="11">
        <f>'FE1'!R38+'FE2'!R38</f>
        <v>0</v>
      </c>
      <c r="H73" s="42">
        <f t="shared" si="0"/>
        <v>6353.42</v>
      </c>
      <c r="I73" s="42">
        <f t="shared" si="1"/>
        <v>26926.78</v>
      </c>
      <c r="J73" s="42">
        <f>'FE1'!V38+'FE2'!V38</f>
        <v>6353.42</v>
      </c>
      <c r="K73" s="42">
        <f t="shared" si="2"/>
        <v>20573.36</v>
      </c>
      <c r="L73" s="4" t="s">
        <v>67</v>
      </c>
      <c r="M73" s="4" t="s">
        <v>94</v>
      </c>
      <c r="O73" s="200"/>
      <c r="Q73" s="200"/>
    </row>
    <row r="74" spans="1:17" ht="13.5" customHeight="1" x14ac:dyDescent="0.3">
      <c r="A74" s="33">
        <v>65</v>
      </c>
      <c r="B74" s="28" t="s">
        <v>203</v>
      </c>
      <c r="C74" s="11" t="s">
        <v>100</v>
      </c>
      <c r="D74" s="4" t="s">
        <v>99</v>
      </c>
      <c r="E74" s="11">
        <f>'FE1'!O39+'FE2'!O39</f>
        <v>5796</v>
      </c>
      <c r="F74" s="11">
        <f>'FE1'!P39+'FE2'!P39</f>
        <v>422.44000000000005</v>
      </c>
      <c r="G74" s="11">
        <f>'FE1'!R39+'FE2'!R39</f>
        <v>0</v>
      </c>
      <c r="H74" s="42">
        <f t="shared" si="0"/>
        <v>422.44000000000005</v>
      </c>
      <c r="I74" s="42">
        <f t="shared" si="1"/>
        <v>5373.5599999999995</v>
      </c>
      <c r="J74" s="42">
        <f>'FE1'!V39+'FE2'!V39</f>
        <v>422.44000000000005</v>
      </c>
      <c r="K74" s="42">
        <f t="shared" si="2"/>
        <v>4951.119999999999</v>
      </c>
      <c r="L74" s="4" t="s">
        <v>58</v>
      </c>
      <c r="M74" s="4" t="s">
        <v>23</v>
      </c>
      <c r="O74" s="200"/>
      <c r="Q74" s="200"/>
    </row>
    <row r="75" spans="1:17" ht="13.5" customHeight="1" x14ac:dyDescent="0.3">
      <c r="A75" s="33">
        <v>66</v>
      </c>
      <c r="B75" s="28" t="s">
        <v>211</v>
      </c>
      <c r="C75" s="14" t="s">
        <v>101</v>
      </c>
      <c r="D75" s="4" t="s">
        <v>17</v>
      </c>
      <c r="E75" s="11">
        <f>'FE1'!O40+'FE2'!O40</f>
        <v>5320</v>
      </c>
      <c r="F75" s="11">
        <f>'FE1'!P40+'FE2'!P40</f>
        <v>370.64</v>
      </c>
      <c r="G75" s="11">
        <f>'FE1'!R40+'FE2'!R40</f>
        <v>0</v>
      </c>
      <c r="H75" s="42">
        <f t="shared" ref="H75:H102" si="3">F75+G75</f>
        <v>370.64</v>
      </c>
      <c r="I75" s="42">
        <f t="shared" ref="I75:I102" si="4">E75-H75</f>
        <v>4949.3599999999997</v>
      </c>
      <c r="J75" s="42">
        <f>'FE1'!V40+'FE2'!V40</f>
        <v>370.64</v>
      </c>
      <c r="K75" s="42">
        <f t="shared" ref="K75:K102" si="5">I75-J75</f>
        <v>4578.7199999999993</v>
      </c>
      <c r="L75" s="4" t="s">
        <v>58</v>
      </c>
      <c r="M75" s="4" t="s">
        <v>23</v>
      </c>
      <c r="O75" s="200"/>
      <c r="Q75" s="200"/>
    </row>
    <row r="76" spans="1:17" ht="13.5" customHeight="1" x14ac:dyDescent="0.25">
      <c r="A76" s="33">
        <v>67</v>
      </c>
      <c r="B76" s="28" t="s">
        <v>215</v>
      </c>
      <c r="C76" s="6" t="s">
        <v>103</v>
      </c>
      <c r="D76" s="4" t="s">
        <v>102</v>
      </c>
      <c r="E76" s="11">
        <f>'FE1'!O41+'FE2'!O41</f>
        <v>16411.8</v>
      </c>
      <c r="F76" s="11">
        <f>'FE1'!P41+'FE2'!P41</f>
        <v>2411.1799999999998</v>
      </c>
      <c r="G76" s="11">
        <f>'FE1'!R41+'FE2'!R41</f>
        <v>0</v>
      </c>
      <c r="H76" s="42">
        <f t="shared" si="3"/>
        <v>2411.1799999999998</v>
      </c>
      <c r="I76" s="42">
        <f t="shared" si="4"/>
        <v>14000.619999999999</v>
      </c>
      <c r="J76" s="42">
        <f>'FE1'!V41+'FE2'!V41</f>
        <v>2411.1799999999998</v>
      </c>
      <c r="K76" s="42">
        <f t="shared" si="5"/>
        <v>11589.439999999999</v>
      </c>
      <c r="L76" s="4" t="s">
        <v>58</v>
      </c>
      <c r="M76" s="4" t="s">
        <v>23</v>
      </c>
      <c r="O76" s="200"/>
      <c r="Q76" s="200"/>
    </row>
    <row r="77" spans="1:17" ht="13.5" customHeight="1" x14ac:dyDescent="0.3">
      <c r="A77" s="33">
        <v>68</v>
      </c>
      <c r="B77" s="28" t="s">
        <v>178</v>
      </c>
      <c r="C77" s="11" t="s">
        <v>104</v>
      </c>
      <c r="D77" s="4" t="s">
        <v>25</v>
      </c>
      <c r="E77" s="11">
        <f>'FE1'!O42+'FE2'!O42</f>
        <v>3424</v>
      </c>
      <c r="F77" s="11">
        <f>'FE1'!P42+'FE2'!P42</f>
        <v>197.1</v>
      </c>
      <c r="G77" s="11">
        <f>'FE1'!R42+'FE2'!R42</f>
        <v>0</v>
      </c>
      <c r="H77" s="42">
        <f t="shared" si="3"/>
        <v>197.1</v>
      </c>
      <c r="I77" s="42">
        <f t="shared" si="4"/>
        <v>3226.9</v>
      </c>
      <c r="J77" s="42">
        <f>'FE1'!V42+'FE2'!V42</f>
        <v>197.1</v>
      </c>
      <c r="K77" s="42">
        <f t="shared" si="5"/>
        <v>3029.8</v>
      </c>
      <c r="L77" s="4" t="s">
        <v>58</v>
      </c>
      <c r="M77" s="4" t="s">
        <v>24</v>
      </c>
      <c r="O77" s="200"/>
      <c r="Q77" s="200"/>
    </row>
    <row r="78" spans="1:17" ht="13.5" customHeight="1" x14ac:dyDescent="0.3">
      <c r="A78" s="33">
        <v>69</v>
      </c>
      <c r="B78" s="28" t="s">
        <v>179</v>
      </c>
      <c r="C78" s="10" t="s">
        <v>105</v>
      </c>
      <c r="D78" s="4" t="s">
        <v>45</v>
      </c>
      <c r="E78" s="11">
        <f>'FE1'!O43+'FE2'!O43</f>
        <v>8425</v>
      </c>
      <c r="F78" s="11">
        <f>'FE1'!P43+'FE2'!P43</f>
        <v>766.18</v>
      </c>
      <c r="G78" s="11">
        <f>'FE1'!R43+'FE2'!R43</f>
        <v>0</v>
      </c>
      <c r="H78" s="42">
        <f t="shared" si="3"/>
        <v>766.18</v>
      </c>
      <c r="I78" s="42">
        <f t="shared" si="4"/>
        <v>7658.82</v>
      </c>
      <c r="J78" s="42">
        <f>'FE1'!V43+'FE2'!V43</f>
        <v>3766.18</v>
      </c>
      <c r="K78" s="42">
        <f t="shared" si="5"/>
        <v>3892.64</v>
      </c>
      <c r="L78" s="4" t="s">
        <v>58</v>
      </c>
      <c r="M78" s="4" t="s">
        <v>24</v>
      </c>
      <c r="O78" s="200"/>
      <c r="Q78" s="200"/>
    </row>
    <row r="79" spans="1:17" ht="13.5" customHeight="1" x14ac:dyDescent="0.3">
      <c r="A79" s="33">
        <v>70</v>
      </c>
      <c r="B79" s="28" t="s">
        <v>187</v>
      </c>
      <c r="C79" s="10" t="s">
        <v>106</v>
      </c>
      <c r="D79" s="4" t="s">
        <v>25</v>
      </c>
      <c r="E79" s="11">
        <f>'FE1'!O44+'FE2'!O44</f>
        <v>3300.527</v>
      </c>
      <c r="F79" s="11">
        <f>'FE1'!P44+'FE2'!P44</f>
        <v>189.2</v>
      </c>
      <c r="G79" s="11">
        <f>'FE1'!R44+'FE2'!R44</f>
        <v>0</v>
      </c>
      <c r="H79" s="42">
        <f t="shared" si="3"/>
        <v>189.2</v>
      </c>
      <c r="I79" s="42">
        <f t="shared" si="4"/>
        <v>3111.3270000000002</v>
      </c>
      <c r="J79" s="42">
        <f>'FE1'!V44+'FE2'!V44</f>
        <v>189.2</v>
      </c>
      <c r="K79" s="42">
        <f t="shared" si="5"/>
        <v>2922.1270000000004</v>
      </c>
      <c r="L79" s="4" t="s">
        <v>58</v>
      </c>
      <c r="M79" s="4" t="s">
        <v>24</v>
      </c>
      <c r="O79" s="200"/>
      <c r="Q79" s="200"/>
    </row>
    <row r="80" spans="1:17" ht="13.5" customHeight="1" x14ac:dyDescent="0.3">
      <c r="A80" s="33">
        <v>71</v>
      </c>
      <c r="B80" s="28" t="s">
        <v>191</v>
      </c>
      <c r="C80" s="11" t="s">
        <v>107</v>
      </c>
      <c r="D80" s="4" t="s">
        <v>25</v>
      </c>
      <c r="E80" s="11">
        <f>'FE1'!O45+'FE2'!O45</f>
        <v>4579.08</v>
      </c>
      <c r="F80" s="11">
        <f>'FE1'!P45+'FE2'!P45</f>
        <v>290.02999999999997</v>
      </c>
      <c r="G80" s="11">
        <f>'FE1'!R45+'FE2'!R45</f>
        <v>0</v>
      </c>
      <c r="H80" s="42">
        <f t="shared" si="3"/>
        <v>290.02999999999997</v>
      </c>
      <c r="I80" s="42">
        <f t="shared" si="4"/>
        <v>4289.05</v>
      </c>
      <c r="J80" s="42">
        <f>'FE1'!V45+'FE2'!V45</f>
        <v>290.02999999999997</v>
      </c>
      <c r="K80" s="42">
        <f t="shared" si="5"/>
        <v>3999.0200000000004</v>
      </c>
      <c r="L80" s="4" t="s">
        <v>58</v>
      </c>
      <c r="M80" s="4" t="s">
        <v>24</v>
      </c>
      <c r="O80" s="200"/>
      <c r="Q80" s="200"/>
    </row>
    <row r="81" spans="1:17" ht="13.5" customHeight="1" x14ac:dyDescent="0.25">
      <c r="A81" s="33">
        <v>72</v>
      </c>
      <c r="B81" s="28" t="s">
        <v>192</v>
      </c>
      <c r="C81" s="11" t="s">
        <v>108</v>
      </c>
      <c r="D81" s="4" t="s">
        <v>25</v>
      </c>
      <c r="E81" s="11">
        <f>'FE1'!O46+'FE2'!O46</f>
        <v>4579.08</v>
      </c>
      <c r="F81" s="11">
        <f>'FE1'!P46+'FE2'!P46</f>
        <v>290.02999999999997</v>
      </c>
      <c r="G81" s="11">
        <f>'FE1'!R46+'FE2'!R46</f>
        <v>0</v>
      </c>
      <c r="H81" s="42">
        <f t="shared" si="3"/>
        <v>290.02999999999997</v>
      </c>
      <c r="I81" s="42">
        <f t="shared" si="4"/>
        <v>4289.05</v>
      </c>
      <c r="J81" s="42">
        <f>'FE1'!V46+'FE2'!V46</f>
        <v>290.02999999999997</v>
      </c>
      <c r="K81" s="42">
        <f t="shared" si="5"/>
        <v>3999.0200000000004</v>
      </c>
      <c r="L81" s="4" t="s">
        <v>58</v>
      </c>
      <c r="M81" s="4" t="s">
        <v>24</v>
      </c>
      <c r="O81" s="200"/>
      <c r="Q81" s="200"/>
    </row>
    <row r="82" spans="1:17" ht="13.5" customHeight="1" x14ac:dyDescent="0.3">
      <c r="A82" s="33">
        <v>73</v>
      </c>
      <c r="B82" s="28" t="s">
        <v>193</v>
      </c>
      <c r="C82" s="10" t="s">
        <v>109</v>
      </c>
      <c r="D82" s="4" t="s">
        <v>45</v>
      </c>
      <c r="E82" s="11">
        <f>'FE1'!O47+'FE2'!O47</f>
        <v>9850</v>
      </c>
      <c r="F82" s="11">
        <f>'FE1'!P47+'FE2'!P47</f>
        <v>1020.14</v>
      </c>
      <c r="G82" s="11">
        <f>'FE1'!R47+'FE2'!R47</f>
        <v>0</v>
      </c>
      <c r="H82" s="42">
        <f t="shared" si="3"/>
        <v>1020.14</v>
      </c>
      <c r="I82" s="42">
        <f t="shared" si="4"/>
        <v>8829.86</v>
      </c>
      <c r="J82" s="42">
        <f>'FE1'!V47+'FE2'!V47</f>
        <v>1020.14</v>
      </c>
      <c r="K82" s="42">
        <f t="shared" si="5"/>
        <v>7809.72</v>
      </c>
      <c r="L82" s="4" t="s">
        <v>58</v>
      </c>
      <c r="M82" s="4" t="s">
        <v>24</v>
      </c>
      <c r="O82" s="200"/>
      <c r="Q82" s="200"/>
    </row>
    <row r="83" spans="1:17" ht="13.5" customHeight="1" x14ac:dyDescent="0.25">
      <c r="A83" s="33">
        <v>74</v>
      </c>
      <c r="B83" s="28" t="s">
        <v>196</v>
      </c>
      <c r="C83" s="11" t="s">
        <v>111</v>
      </c>
      <c r="D83" s="4" t="s">
        <v>110</v>
      </c>
      <c r="E83" s="11">
        <f>'FE1'!O48+'FE2'!O48</f>
        <v>6677.16</v>
      </c>
      <c r="F83" s="11">
        <f>'FE1'!P48+'FE2'!P48</f>
        <v>527.75</v>
      </c>
      <c r="G83" s="11">
        <f>'FE1'!R48+'FE2'!R48</f>
        <v>97.52</v>
      </c>
      <c r="H83" s="42">
        <f t="shared" si="3"/>
        <v>625.27</v>
      </c>
      <c r="I83" s="42">
        <f t="shared" si="4"/>
        <v>6051.8899999999994</v>
      </c>
      <c r="J83" s="42">
        <f>'FE1'!V48+'FE2'!V48</f>
        <v>625.27</v>
      </c>
      <c r="K83" s="42">
        <f t="shared" si="5"/>
        <v>5426.619999999999</v>
      </c>
      <c r="L83" s="4" t="s">
        <v>58</v>
      </c>
      <c r="M83" s="4" t="s">
        <v>24</v>
      </c>
      <c r="O83" s="200"/>
      <c r="Q83" s="200"/>
    </row>
    <row r="84" spans="1:17" ht="13.5" customHeight="1" x14ac:dyDescent="0.3">
      <c r="A84" s="33">
        <v>75</v>
      </c>
      <c r="B84" s="26" t="s">
        <v>200</v>
      </c>
      <c r="C84" s="11" t="s">
        <v>113</v>
      </c>
      <c r="D84" s="4" t="s">
        <v>112</v>
      </c>
      <c r="E84" s="11">
        <f>'FE1'!O49+'FE2'!O49</f>
        <v>8600.2000000000007</v>
      </c>
      <c r="F84" s="11">
        <f>'FE1'!P49+'FE2'!P49</f>
        <v>796.16</v>
      </c>
      <c r="G84" s="11">
        <f>'FE1'!R49+'FE2'!R49</f>
        <v>0</v>
      </c>
      <c r="H84" s="42">
        <f t="shared" si="3"/>
        <v>796.16</v>
      </c>
      <c r="I84" s="42">
        <f t="shared" si="4"/>
        <v>7804.0400000000009</v>
      </c>
      <c r="J84" s="42">
        <f>'FE1'!V49+'FE2'!V49</f>
        <v>796.16</v>
      </c>
      <c r="K84" s="42">
        <f t="shared" si="5"/>
        <v>7007.880000000001</v>
      </c>
      <c r="L84" s="4" t="s">
        <v>58</v>
      </c>
      <c r="M84" s="4" t="s">
        <v>24</v>
      </c>
      <c r="O84" s="200"/>
      <c r="Q84" s="200"/>
    </row>
    <row r="85" spans="1:17" ht="13.5" customHeight="1" x14ac:dyDescent="0.3">
      <c r="A85" s="33">
        <v>76</v>
      </c>
      <c r="B85" s="28" t="s">
        <v>201</v>
      </c>
      <c r="C85" s="11" t="s">
        <v>114</v>
      </c>
      <c r="D85" s="4" t="s">
        <v>50</v>
      </c>
      <c r="E85" s="11">
        <f>'FE1'!O50+'FE2'!O50</f>
        <v>3984.0000000000005</v>
      </c>
      <c r="F85" s="11">
        <f>'FE1'!P50+'FE2'!P50</f>
        <v>232.94</v>
      </c>
      <c r="G85" s="11">
        <f>'FE1'!R50+'FE2'!R50</f>
        <v>0</v>
      </c>
      <c r="H85" s="42">
        <f t="shared" si="3"/>
        <v>232.94</v>
      </c>
      <c r="I85" s="42">
        <f t="shared" si="4"/>
        <v>3751.0600000000004</v>
      </c>
      <c r="J85" s="42">
        <f>'FE1'!V50+'FE2'!V50</f>
        <v>232.94</v>
      </c>
      <c r="K85" s="42">
        <f t="shared" si="5"/>
        <v>3518.1200000000003</v>
      </c>
      <c r="L85" s="4" t="s">
        <v>58</v>
      </c>
      <c r="M85" s="4" t="s">
        <v>24</v>
      </c>
      <c r="O85" s="200"/>
      <c r="Q85" s="200"/>
    </row>
    <row r="86" spans="1:17" ht="13.5" customHeight="1" x14ac:dyDescent="0.3">
      <c r="A86" s="33">
        <v>77</v>
      </c>
      <c r="B86" s="28" t="s">
        <v>206</v>
      </c>
      <c r="C86" s="11" t="s">
        <v>116</v>
      </c>
      <c r="D86" s="4" t="s">
        <v>115</v>
      </c>
      <c r="E86" s="11">
        <f>'FE1'!O51+'FE2'!O51</f>
        <v>9400</v>
      </c>
      <c r="F86" s="11">
        <f>'FE1'!P51+'FE2'!P51</f>
        <v>939.5</v>
      </c>
      <c r="G86" s="11">
        <f>'FE1'!R51+'FE2'!R51</f>
        <v>0</v>
      </c>
      <c r="H86" s="42">
        <f t="shared" si="3"/>
        <v>939.5</v>
      </c>
      <c r="I86" s="42">
        <f t="shared" si="4"/>
        <v>8460.5</v>
      </c>
      <c r="J86" s="42">
        <f>'FE1'!V51+'FE2'!V51</f>
        <v>4253.18</v>
      </c>
      <c r="K86" s="42">
        <f t="shared" si="5"/>
        <v>4207.32</v>
      </c>
      <c r="L86" s="4" t="s">
        <v>58</v>
      </c>
      <c r="M86" s="4" t="s">
        <v>24</v>
      </c>
      <c r="O86" s="200"/>
      <c r="Q86" s="200"/>
    </row>
    <row r="87" spans="1:17" ht="13.5" customHeight="1" x14ac:dyDescent="0.3">
      <c r="A87" s="33">
        <v>78</v>
      </c>
      <c r="B87" s="28" t="s">
        <v>208</v>
      </c>
      <c r="C87" s="6" t="s">
        <v>117</v>
      </c>
      <c r="D87" s="4" t="s">
        <v>25</v>
      </c>
      <c r="E87" s="11">
        <f>'FE1'!O52+'FE2'!O52</f>
        <v>5800.3000000000011</v>
      </c>
      <c r="F87" s="11">
        <f>'FE1'!P52+'FE2'!P52</f>
        <v>422.90999999999997</v>
      </c>
      <c r="G87" s="11">
        <f>'FE1'!R52+'FE2'!R52</f>
        <v>0</v>
      </c>
      <c r="H87" s="42">
        <f t="shared" si="3"/>
        <v>422.90999999999997</v>
      </c>
      <c r="I87" s="42">
        <f t="shared" si="4"/>
        <v>5377.3900000000012</v>
      </c>
      <c r="J87" s="42">
        <f>'FE1'!V52+'FE2'!V52</f>
        <v>422.90999999999997</v>
      </c>
      <c r="K87" s="42">
        <f t="shared" si="5"/>
        <v>4954.4800000000014</v>
      </c>
      <c r="L87" s="4" t="s">
        <v>58</v>
      </c>
      <c r="M87" s="4" t="s">
        <v>24</v>
      </c>
      <c r="O87" s="200"/>
      <c r="Q87" s="200"/>
    </row>
    <row r="88" spans="1:17" ht="13.5" customHeight="1" x14ac:dyDescent="0.3">
      <c r="A88" s="33">
        <v>79</v>
      </c>
      <c r="B88" s="28" t="s">
        <v>238</v>
      </c>
      <c r="C88" s="4" t="s">
        <v>234</v>
      </c>
      <c r="D88" s="4" t="s">
        <v>25</v>
      </c>
      <c r="E88" s="11">
        <f>'FE1'!O53+'FE2'!O53</f>
        <v>5800.3000000000011</v>
      </c>
      <c r="F88" s="11">
        <f>'FE1'!P53+'FE2'!P53</f>
        <v>422.90999999999997</v>
      </c>
      <c r="G88" s="11">
        <f>'FE1'!R53+'FE2'!R53</f>
        <v>0</v>
      </c>
      <c r="H88" s="42">
        <f t="shared" si="3"/>
        <v>422.90999999999997</v>
      </c>
      <c r="I88" s="42">
        <f t="shared" si="4"/>
        <v>5377.3900000000012</v>
      </c>
      <c r="J88" s="42">
        <f>'FE1'!V53+'FE2'!V53</f>
        <v>422.90999999999997</v>
      </c>
      <c r="K88" s="42">
        <f t="shared" si="5"/>
        <v>4954.4800000000014</v>
      </c>
      <c r="L88" s="4" t="s">
        <v>58</v>
      </c>
      <c r="M88" s="4" t="s">
        <v>24</v>
      </c>
      <c r="O88" s="200"/>
      <c r="Q88" s="200"/>
    </row>
    <row r="89" spans="1:17" ht="13.5" customHeight="1" x14ac:dyDescent="0.3">
      <c r="A89" s="33">
        <v>80</v>
      </c>
      <c r="B89" s="28" t="s">
        <v>244</v>
      </c>
      <c r="C89" s="29" t="s">
        <v>242</v>
      </c>
      <c r="D89" s="4" t="s">
        <v>25</v>
      </c>
      <c r="E89" s="11">
        <f>'FE1'!O54+'FE2'!O54</f>
        <v>4437.76</v>
      </c>
      <c r="F89" s="11">
        <f>'FE1'!P54+'FE2'!P54</f>
        <v>274.65999999999997</v>
      </c>
      <c r="G89" s="11">
        <f>'FE1'!R54+'FE2'!R54</f>
        <v>0</v>
      </c>
      <c r="H89" s="42">
        <f t="shared" si="3"/>
        <v>274.65999999999997</v>
      </c>
      <c r="I89" s="42">
        <f t="shared" si="4"/>
        <v>4163.1000000000004</v>
      </c>
      <c r="J89" s="42">
        <f>'FE1'!V54+'FE2'!V54</f>
        <v>274.65999999999997</v>
      </c>
      <c r="K89" s="42">
        <f t="shared" si="5"/>
        <v>3888.4400000000005</v>
      </c>
      <c r="L89" s="4" t="s">
        <v>58</v>
      </c>
      <c r="M89" s="4" t="s">
        <v>24</v>
      </c>
      <c r="O89" s="200"/>
      <c r="Q89" s="200"/>
    </row>
    <row r="90" spans="1:17" ht="13.5" customHeight="1" x14ac:dyDescent="0.3">
      <c r="A90" s="33">
        <v>81</v>
      </c>
      <c r="B90" s="28" t="s">
        <v>300</v>
      </c>
      <c r="C90" s="29" t="s">
        <v>293</v>
      </c>
      <c r="D90" s="4" t="s">
        <v>17</v>
      </c>
      <c r="E90" s="11">
        <f>'FE1'!O55+'FE2'!O55</f>
        <v>0</v>
      </c>
      <c r="F90" s="11">
        <f>'FE1'!P55+'FE2'!P55</f>
        <v>0</v>
      </c>
      <c r="G90" s="11">
        <f>'FE1'!R55+'FE2'!R55</f>
        <v>0</v>
      </c>
      <c r="H90" s="42">
        <f t="shared" si="3"/>
        <v>0</v>
      </c>
      <c r="I90" s="42">
        <f t="shared" si="4"/>
        <v>0</v>
      </c>
      <c r="J90" s="42">
        <f>'FE1'!V55+'FE2'!V55</f>
        <v>0</v>
      </c>
      <c r="K90" s="42">
        <f t="shared" si="5"/>
        <v>0</v>
      </c>
      <c r="L90" s="4" t="s">
        <v>58</v>
      </c>
      <c r="M90" s="4" t="s">
        <v>24</v>
      </c>
      <c r="O90" s="200"/>
      <c r="Q90" s="200"/>
    </row>
    <row r="91" spans="1:17" ht="13.5" customHeight="1" x14ac:dyDescent="0.3">
      <c r="A91" s="33">
        <v>82</v>
      </c>
      <c r="B91" s="30" t="s">
        <v>221</v>
      </c>
      <c r="C91" s="11" t="s">
        <v>120</v>
      </c>
      <c r="D91" s="4" t="s">
        <v>30</v>
      </c>
      <c r="E91" s="11">
        <f>'FE1'!O56+'FE2'!O56</f>
        <v>3200.6</v>
      </c>
      <c r="F91" s="11">
        <f>'FE1'!P56+'FE2'!P56</f>
        <v>182.8</v>
      </c>
      <c r="G91" s="11">
        <f>'FE1'!R56+'FE2'!R56</f>
        <v>72.12</v>
      </c>
      <c r="H91" s="42">
        <f t="shared" si="3"/>
        <v>254.92000000000002</v>
      </c>
      <c r="I91" s="42">
        <f t="shared" si="4"/>
        <v>2945.68</v>
      </c>
      <c r="J91" s="42">
        <f>'FE1'!V56+'FE2'!V56</f>
        <v>254.92000000000002</v>
      </c>
      <c r="K91" s="42">
        <f t="shared" si="5"/>
        <v>2690.7599999999998</v>
      </c>
      <c r="L91" s="4" t="s">
        <v>58</v>
      </c>
      <c r="M91" s="4" t="s">
        <v>119</v>
      </c>
      <c r="O91" s="200"/>
      <c r="Q91" s="200"/>
    </row>
    <row r="92" spans="1:17" ht="13.5" customHeight="1" x14ac:dyDescent="0.3">
      <c r="A92" s="33">
        <v>83</v>
      </c>
      <c r="B92" s="30" t="s">
        <v>222</v>
      </c>
      <c r="C92" s="11" t="s">
        <v>121</v>
      </c>
      <c r="D92" s="4" t="s">
        <v>9</v>
      </c>
      <c r="E92" s="11">
        <f>'FE1'!O57+'FE2'!O57</f>
        <v>3600.68</v>
      </c>
      <c r="F92" s="11">
        <f>'FE1'!P57+'FE2'!P57</f>
        <v>208.4</v>
      </c>
      <c r="G92" s="11">
        <f>'FE1'!R57+'FE2'!R57</f>
        <v>0</v>
      </c>
      <c r="H92" s="42">
        <f t="shared" si="3"/>
        <v>208.4</v>
      </c>
      <c r="I92" s="42">
        <f t="shared" si="4"/>
        <v>3392.2799999999997</v>
      </c>
      <c r="J92" s="42">
        <f>'FE1'!V57+'FE2'!V57</f>
        <v>208.4</v>
      </c>
      <c r="K92" s="42">
        <f t="shared" si="5"/>
        <v>3183.8799999999997</v>
      </c>
      <c r="L92" s="4" t="s">
        <v>58</v>
      </c>
      <c r="M92" s="4" t="s">
        <v>119</v>
      </c>
      <c r="O92" s="200"/>
      <c r="Q92" s="200"/>
    </row>
    <row r="93" spans="1:17" ht="13.5" customHeight="1" x14ac:dyDescent="0.3">
      <c r="A93" s="33">
        <v>84</v>
      </c>
      <c r="B93" s="30" t="s">
        <v>223</v>
      </c>
      <c r="C93" s="11" t="s">
        <v>122</v>
      </c>
      <c r="D93" s="4" t="s">
        <v>25</v>
      </c>
      <c r="E93" s="11">
        <f>'FE1'!O58+'FE2'!O58</f>
        <v>3600.68</v>
      </c>
      <c r="F93" s="11">
        <f>'FE1'!P58+'FE2'!P58</f>
        <v>118.4</v>
      </c>
      <c r="G93" s="11">
        <f>'FE1'!R58+'FE2'!R58</f>
        <v>72.12</v>
      </c>
      <c r="H93" s="42">
        <f t="shared" si="3"/>
        <v>190.52</v>
      </c>
      <c r="I93" s="42">
        <f t="shared" si="4"/>
        <v>3410.16</v>
      </c>
      <c r="J93" s="42">
        <f>'FE1'!V58+'FE2'!V58</f>
        <v>190.51999999999998</v>
      </c>
      <c r="K93" s="42">
        <f t="shared" si="5"/>
        <v>3219.64</v>
      </c>
      <c r="L93" s="4" t="s">
        <v>58</v>
      </c>
      <c r="M93" s="4" t="s">
        <v>119</v>
      </c>
      <c r="O93" s="200"/>
      <c r="Q93" s="200"/>
    </row>
    <row r="94" spans="1:17" ht="13.5" customHeight="1" x14ac:dyDescent="0.3">
      <c r="A94" s="33">
        <v>85</v>
      </c>
      <c r="B94" s="30" t="s">
        <v>224</v>
      </c>
      <c r="C94" s="11" t="s">
        <v>123</v>
      </c>
      <c r="D94" s="2" t="s">
        <v>25</v>
      </c>
      <c r="E94" s="11">
        <f>'FE1'!O59+'FE2'!O59</f>
        <v>3600.68</v>
      </c>
      <c r="F94" s="11">
        <f>'FE1'!P59+'FE2'!P59</f>
        <v>208.4</v>
      </c>
      <c r="G94" s="11">
        <f>'FE1'!R59+'FE2'!R59</f>
        <v>72.12</v>
      </c>
      <c r="H94" s="42">
        <f t="shared" si="3"/>
        <v>280.52</v>
      </c>
      <c r="I94" s="42">
        <f t="shared" si="4"/>
        <v>3320.16</v>
      </c>
      <c r="J94" s="42">
        <f>'FE1'!V59+'FE2'!V59</f>
        <v>280.52</v>
      </c>
      <c r="K94" s="42">
        <f t="shared" si="5"/>
        <v>3039.64</v>
      </c>
      <c r="L94" s="4" t="s">
        <v>58</v>
      </c>
      <c r="M94" s="4" t="s">
        <v>119</v>
      </c>
      <c r="O94" s="200"/>
      <c r="Q94" s="200"/>
    </row>
    <row r="95" spans="1:17" ht="13.5" customHeight="1" x14ac:dyDescent="0.3">
      <c r="A95" s="33">
        <v>86</v>
      </c>
      <c r="B95" s="28" t="s">
        <v>225</v>
      </c>
      <c r="C95" s="10" t="s">
        <v>125</v>
      </c>
      <c r="D95" s="4" t="s">
        <v>124</v>
      </c>
      <c r="E95" s="11">
        <f>'FE1'!O60+'FE2'!O60</f>
        <v>21365.72</v>
      </c>
      <c r="F95" s="11">
        <f>'FE1'!P60+'FE2'!P60</f>
        <v>3487.84</v>
      </c>
      <c r="G95" s="11">
        <f>'FE1'!R60+'FE2'!R60</f>
        <v>0</v>
      </c>
      <c r="H95" s="42">
        <f t="shared" si="3"/>
        <v>3487.84</v>
      </c>
      <c r="I95" s="42">
        <f t="shared" si="4"/>
        <v>17877.88</v>
      </c>
      <c r="J95" s="42">
        <f>'FE1'!V60+'FE2'!V60</f>
        <v>3487.84</v>
      </c>
      <c r="K95" s="42">
        <f t="shared" si="5"/>
        <v>14390.04</v>
      </c>
      <c r="L95" s="4" t="s">
        <v>67</v>
      </c>
      <c r="M95" s="4" t="s">
        <v>119</v>
      </c>
      <c r="O95" s="200"/>
      <c r="Q95" s="200"/>
    </row>
    <row r="96" spans="1:17" ht="13.5" customHeight="1" x14ac:dyDescent="0.3">
      <c r="A96" s="33">
        <v>87</v>
      </c>
      <c r="B96" s="28" t="s">
        <v>226</v>
      </c>
      <c r="C96" s="10" t="s">
        <v>126</v>
      </c>
      <c r="D96" s="4" t="s">
        <v>17</v>
      </c>
      <c r="E96" s="11">
        <f>'FE1'!O61+'FE2'!O61</f>
        <v>9170.14</v>
      </c>
      <c r="F96" s="11">
        <f>'FE1'!P61+'FE2'!P61</f>
        <v>898.3</v>
      </c>
      <c r="G96" s="11">
        <f>'FE1'!R61+'FE2'!R61</f>
        <v>72.2</v>
      </c>
      <c r="H96" s="42">
        <f t="shared" si="3"/>
        <v>970.5</v>
      </c>
      <c r="I96" s="42">
        <f t="shared" si="4"/>
        <v>8199.64</v>
      </c>
      <c r="J96" s="42">
        <f>'FE1'!V61+'FE2'!V61</f>
        <v>970.5</v>
      </c>
      <c r="K96" s="42">
        <f t="shared" si="5"/>
        <v>7229.1399999999994</v>
      </c>
      <c r="L96" s="4" t="s">
        <v>58</v>
      </c>
      <c r="M96" s="4" t="s">
        <v>119</v>
      </c>
      <c r="O96" s="200"/>
      <c r="Q96" s="200"/>
    </row>
    <row r="97" spans="1:17" ht="13.5" customHeight="1" x14ac:dyDescent="0.3">
      <c r="A97" s="33">
        <v>88</v>
      </c>
      <c r="B97" s="28" t="s">
        <v>227</v>
      </c>
      <c r="C97" s="11" t="s">
        <v>127</v>
      </c>
      <c r="D97" s="4" t="s">
        <v>17</v>
      </c>
      <c r="E97" s="11">
        <f>'FE1'!O62+'FE2'!O62</f>
        <v>3202.7000000000003</v>
      </c>
      <c r="F97" s="11">
        <f>'FE1'!P62+'FE2'!P62</f>
        <v>182.94</v>
      </c>
      <c r="G97" s="11">
        <f>'FE1'!R62+'FE2'!R62</f>
        <v>72.2</v>
      </c>
      <c r="H97" s="42">
        <f t="shared" si="3"/>
        <v>255.14</v>
      </c>
      <c r="I97" s="42">
        <f t="shared" si="4"/>
        <v>2947.5600000000004</v>
      </c>
      <c r="J97" s="42">
        <f>'FE1'!V62+'FE2'!V62</f>
        <v>255.14</v>
      </c>
      <c r="K97" s="42">
        <f t="shared" si="5"/>
        <v>2692.4200000000005</v>
      </c>
      <c r="L97" s="4" t="s">
        <v>58</v>
      </c>
      <c r="M97" s="4" t="s">
        <v>119</v>
      </c>
      <c r="O97" s="200"/>
      <c r="Q97" s="200"/>
    </row>
    <row r="98" spans="1:17" ht="13.5" customHeight="1" x14ac:dyDescent="0.3">
      <c r="A98" s="33">
        <v>89</v>
      </c>
      <c r="B98" s="28" t="s">
        <v>228</v>
      </c>
      <c r="C98" s="11" t="s">
        <v>128</v>
      </c>
      <c r="D98" s="4" t="s">
        <v>17</v>
      </c>
      <c r="E98" s="11">
        <f>'FE1'!O63+'FE2'!O63</f>
        <v>4443.2000000000007</v>
      </c>
      <c r="F98" s="11">
        <f>'FE1'!P63+'FE2'!P63</f>
        <v>275.26</v>
      </c>
      <c r="G98" s="11">
        <f>'FE1'!R63+'FE2'!R63</f>
        <v>90</v>
      </c>
      <c r="H98" s="42">
        <f t="shared" si="3"/>
        <v>365.26</v>
      </c>
      <c r="I98" s="42">
        <f t="shared" si="4"/>
        <v>4077.9400000000005</v>
      </c>
      <c r="J98" s="42">
        <f>'FE1'!V63+'FE2'!V63</f>
        <v>365.26</v>
      </c>
      <c r="K98" s="42">
        <f t="shared" si="5"/>
        <v>3712.6800000000003</v>
      </c>
      <c r="L98" s="4" t="s">
        <v>58</v>
      </c>
      <c r="M98" s="4" t="s">
        <v>119</v>
      </c>
      <c r="O98" s="200"/>
      <c r="Q98" s="200"/>
    </row>
    <row r="99" spans="1:17" ht="13.5" customHeight="1" x14ac:dyDescent="0.3">
      <c r="A99" s="33">
        <v>90</v>
      </c>
      <c r="B99" s="28" t="s">
        <v>229</v>
      </c>
      <c r="C99" s="11" t="s">
        <v>129</v>
      </c>
      <c r="D99" s="4" t="s">
        <v>25</v>
      </c>
      <c r="E99" s="11">
        <f>'FE1'!O64+'FE2'!O64</f>
        <v>3600.68</v>
      </c>
      <c r="F99" s="11">
        <f>'FE1'!P64+'FE2'!P64</f>
        <v>208.4</v>
      </c>
      <c r="G99" s="11">
        <f>'FE1'!R64+'FE2'!R64</f>
        <v>0</v>
      </c>
      <c r="H99" s="42">
        <f t="shared" si="3"/>
        <v>208.4</v>
      </c>
      <c r="I99" s="42">
        <f t="shared" si="4"/>
        <v>3392.2799999999997</v>
      </c>
      <c r="J99" s="42">
        <f>'FE1'!V64+'FE2'!V64</f>
        <v>208.4</v>
      </c>
      <c r="K99" s="42">
        <f t="shared" si="5"/>
        <v>3183.8799999999997</v>
      </c>
      <c r="L99" s="4" t="s">
        <v>58</v>
      </c>
      <c r="M99" s="4" t="s">
        <v>119</v>
      </c>
      <c r="O99" s="200"/>
      <c r="Q99" s="200"/>
    </row>
    <row r="100" spans="1:17" ht="13.5" customHeight="1" x14ac:dyDescent="0.3">
      <c r="A100" s="33">
        <v>91</v>
      </c>
      <c r="B100" s="28" t="s">
        <v>230</v>
      </c>
      <c r="C100" s="11" t="s">
        <v>130</v>
      </c>
      <c r="D100" s="4" t="s">
        <v>25</v>
      </c>
      <c r="E100" s="11">
        <f>'FE1'!O65+'FE2'!O65</f>
        <v>3600.68</v>
      </c>
      <c r="F100" s="11">
        <f>'FE1'!P65+'FE2'!P65</f>
        <v>208.4</v>
      </c>
      <c r="G100" s="11">
        <f>'FE1'!R65+'FE2'!R65</f>
        <v>90</v>
      </c>
      <c r="H100" s="42">
        <f t="shared" si="3"/>
        <v>298.39999999999998</v>
      </c>
      <c r="I100" s="42">
        <f t="shared" si="4"/>
        <v>3302.2799999999997</v>
      </c>
      <c r="J100" s="42">
        <f>'FE1'!V65+'FE2'!V65</f>
        <v>298.39999999999998</v>
      </c>
      <c r="K100" s="42">
        <f t="shared" si="5"/>
        <v>3003.8799999999997</v>
      </c>
      <c r="L100" s="4" t="s">
        <v>58</v>
      </c>
      <c r="M100" s="4" t="s">
        <v>119</v>
      </c>
      <c r="O100" s="200"/>
      <c r="Q100" s="200"/>
    </row>
    <row r="101" spans="1:17" ht="13.5" customHeight="1" x14ac:dyDescent="0.3">
      <c r="A101" s="33">
        <v>92</v>
      </c>
      <c r="B101" s="28" t="s">
        <v>231</v>
      </c>
      <c r="C101" s="12" t="s">
        <v>131</v>
      </c>
      <c r="D101" s="9" t="s">
        <v>12</v>
      </c>
      <c r="E101" s="11">
        <f>'FE1'!O66+'FE2'!O66</f>
        <v>6816.46</v>
      </c>
      <c r="F101" s="11">
        <f>'FE1'!P66+'FE2'!P66</f>
        <v>533.41</v>
      </c>
      <c r="G101" s="11">
        <f>'FE1'!R66+'FE2'!R66</f>
        <v>0</v>
      </c>
      <c r="H101" s="42">
        <f t="shared" si="3"/>
        <v>533.41</v>
      </c>
      <c r="I101" s="42">
        <f t="shared" si="4"/>
        <v>6283.05</v>
      </c>
      <c r="J101" s="42">
        <f>'FE1'!V66+'FE2'!V66</f>
        <v>933.41</v>
      </c>
      <c r="K101" s="42">
        <f t="shared" si="5"/>
        <v>5349.64</v>
      </c>
      <c r="L101" s="9" t="s">
        <v>58</v>
      </c>
      <c r="M101" s="9" t="s">
        <v>119</v>
      </c>
      <c r="O101" s="200"/>
      <c r="Q101" s="200"/>
    </row>
    <row r="102" spans="1:17" ht="14.45" x14ac:dyDescent="0.3">
      <c r="A102" s="33">
        <v>93</v>
      </c>
      <c r="B102" s="28" t="s">
        <v>237</v>
      </c>
      <c r="C102" s="4" t="s">
        <v>235</v>
      </c>
      <c r="D102" s="4" t="s">
        <v>25</v>
      </c>
      <c r="E102" s="11">
        <f>'FE1'!O67+'FE2'!O67</f>
        <v>3900.68</v>
      </c>
      <c r="F102" s="11">
        <f>'FE1'!P67+'FE2'!P67</f>
        <v>227.6</v>
      </c>
      <c r="G102" s="11">
        <f>'FE1'!R67+'FE2'!R67</f>
        <v>0</v>
      </c>
      <c r="H102" s="42">
        <f t="shared" si="3"/>
        <v>227.6</v>
      </c>
      <c r="I102" s="42">
        <f t="shared" si="4"/>
        <v>3673.08</v>
      </c>
      <c r="J102" s="42">
        <f>'FE1'!V67+'FE2'!V67</f>
        <v>227.6</v>
      </c>
      <c r="K102" s="42">
        <f t="shared" si="5"/>
        <v>3445.48</v>
      </c>
      <c r="L102" s="4" t="s">
        <v>58</v>
      </c>
      <c r="M102" s="4" t="s">
        <v>119</v>
      </c>
      <c r="O102" s="200"/>
      <c r="Q102" s="200"/>
    </row>
  </sheetData>
  <mergeCells count="3">
    <mergeCell ref="B2:M2"/>
    <mergeCell ref="B3:M3"/>
    <mergeCell ref="B4:M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2"/>
  <sheetViews>
    <sheetView tabSelected="1" topLeftCell="A70" workbookViewId="0">
      <selection activeCell="M75" sqref="M75"/>
    </sheetView>
  </sheetViews>
  <sheetFormatPr baseColWidth="10" defaultRowHeight="15" x14ac:dyDescent="0.25"/>
  <cols>
    <col min="1" max="1" width="11.5703125" style="2"/>
    <col min="2" max="2" width="11.5703125" style="201"/>
    <col min="3" max="3" width="30.5703125" style="2" customWidth="1"/>
    <col min="4" max="4" width="28.7109375" style="2" bestFit="1" customWidth="1"/>
    <col min="5" max="6" width="10.42578125" style="2" customWidth="1"/>
    <col min="7" max="7" width="9" style="2" customWidth="1"/>
    <col min="8" max="8" width="10" style="2" bestFit="1" customWidth="1"/>
    <col min="9" max="9" width="9.5703125" style="2" bestFit="1" customWidth="1"/>
    <col min="10" max="10" width="9.7109375" style="2" bestFit="1" customWidth="1"/>
    <col min="11" max="11" width="9.5703125" style="2" bestFit="1" customWidth="1"/>
    <col min="12" max="12" width="11" style="2" bestFit="1" customWidth="1"/>
    <col min="13" max="13" width="12.42578125" style="2" bestFit="1" customWidth="1"/>
  </cols>
  <sheetData>
    <row r="2" spans="1:17" ht="14.45" x14ac:dyDescent="0.3">
      <c r="B2" s="204" t="s">
        <v>144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7" ht="14.45" x14ac:dyDescent="0.3">
      <c r="B3" s="205" t="s">
        <v>145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7" ht="12" customHeight="1" x14ac:dyDescent="0.3">
      <c r="A4" s="31"/>
      <c r="B4" s="206">
        <v>42795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17" ht="12" customHeight="1" x14ac:dyDescent="0.3">
      <c r="A5" s="31"/>
      <c r="C5" s="203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7" ht="12" customHeight="1" x14ac:dyDescent="0.3">
      <c r="A6" s="31"/>
      <c r="C6" s="203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7" ht="16.5" customHeight="1" x14ac:dyDescent="0.3">
      <c r="A7" s="1" t="s">
        <v>245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7" ht="16.5" customHeight="1" thickBot="1" x14ac:dyDescent="0.35">
      <c r="A8" s="2" t="s">
        <v>298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 ht="21" thickBot="1" x14ac:dyDescent="0.35">
      <c r="A9" s="8" t="s">
        <v>0</v>
      </c>
      <c r="B9" s="36" t="s">
        <v>143</v>
      </c>
      <c r="C9" s="37" t="s">
        <v>142</v>
      </c>
      <c r="D9" s="7" t="s">
        <v>136</v>
      </c>
      <c r="E9" s="38" t="s">
        <v>55</v>
      </c>
      <c r="F9" s="39" t="s">
        <v>1</v>
      </c>
      <c r="G9" s="40" t="s">
        <v>56</v>
      </c>
      <c r="H9" s="41" t="s">
        <v>140</v>
      </c>
      <c r="I9" s="41" t="s">
        <v>138</v>
      </c>
      <c r="J9" s="38" t="s">
        <v>137</v>
      </c>
      <c r="K9" s="38" t="s">
        <v>139</v>
      </c>
      <c r="L9" s="7" t="s">
        <v>135</v>
      </c>
      <c r="M9" s="8" t="s">
        <v>141</v>
      </c>
    </row>
    <row r="10" spans="1:17" ht="13.5" customHeight="1" x14ac:dyDescent="0.3">
      <c r="A10" s="33">
        <v>1</v>
      </c>
      <c r="B10" s="24" t="s">
        <v>153</v>
      </c>
      <c r="C10" s="23" t="s">
        <v>5</v>
      </c>
      <c r="D10" s="3" t="s">
        <v>4</v>
      </c>
      <c r="E10" s="42">
        <f>'MB1'!T6+'MB2'!T6</f>
        <v>12166.96</v>
      </c>
      <c r="F10" s="42">
        <f>'MB1'!U6+'MB2'!U6</f>
        <v>1504.48</v>
      </c>
      <c r="G10" s="42">
        <f>'MB1'!V6+'MB2'!V6</f>
        <v>144.72</v>
      </c>
      <c r="H10" s="42">
        <f>F10+G10</f>
        <v>1649.2</v>
      </c>
      <c r="I10" s="42">
        <f>E10-H10</f>
        <v>10517.759999999998</v>
      </c>
      <c r="J10" s="42">
        <f>'MB1'!AA6+'MB2'!AA6</f>
        <v>1686.3</v>
      </c>
      <c r="K10" s="42">
        <f>I10-J10</f>
        <v>8831.4599999999991</v>
      </c>
      <c r="L10" s="3" t="s">
        <v>3</v>
      </c>
      <c r="M10" s="16" t="s">
        <v>2</v>
      </c>
      <c r="O10" s="101"/>
      <c r="Q10" s="101"/>
    </row>
    <row r="11" spans="1:17" ht="13.5" customHeight="1" x14ac:dyDescent="0.3">
      <c r="A11" s="33">
        <v>2</v>
      </c>
      <c r="B11" s="24" t="s">
        <v>154</v>
      </c>
      <c r="C11" s="19" t="s">
        <v>8</v>
      </c>
      <c r="D11" s="4" t="s">
        <v>7</v>
      </c>
      <c r="E11" s="42">
        <f>'MB1'!T7+'MB2'!T7</f>
        <v>12788.1</v>
      </c>
      <c r="F11" s="42">
        <f>'MB1'!U7+'MB2'!U7</f>
        <v>1637.16</v>
      </c>
      <c r="G11" s="42">
        <f>'MB1'!V7+'MB2'!V7</f>
        <v>222.98</v>
      </c>
      <c r="H11" s="42">
        <f t="shared" ref="H11:H74" si="0">F11+G11</f>
        <v>1860.14</v>
      </c>
      <c r="I11" s="42">
        <f t="shared" ref="I11:I74" si="1">E11-H11</f>
        <v>10927.960000000001</v>
      </c>
      <c r="J11" s="42">
        <f>'MB1'!AA7+'MB2'!AA7</f>
        <v>1906.96</v>
      </c>
      <c r="K11" s="42">
        <f t="shared" ref="K11:K74" si="2">I11-J11</f>
        <v>9021</v>
      </c>
      <c r="L11" s="4" t="s">
        <v>3</v>
      </c>
      <c r="M11" s="17" t="s">
        <v>6</v>
      </c>
      <c r="O11" s="101"/>
      <c r="Q11" s="101"/>
    </row>
    <row r="12" spans="1:17" ht="13.5" customHeight="1" x14ac:dyDescent="0.25">
      <c r="A12" s="33">
        <v>3</v>
      </c>
      <c r="B12" s="24" t="s">
        <v>161</v>
      </c>
      <c r="C12" s="19" t="s">
        <v>10</v>
      </c>
      <c r="D12" s="4" t="s">
        <v>9</v>
      </c>
      <c r="E12" s="42">
        <f>'MB1'!T8+'MB2'!T8</f>
        <v>6986.7199999999993</v>
      </c>
      <c r="F12" s="42">
        <f>'MB1'!U8+'MB2'!U8</f>
        <v>301.77999999999997</v>
      </c>
      <c r="G12" s="42">
        <f>'MB1'!V8+'MB2'!V8</f>
        <v>93.86</v>
      </c>
      <c r="H12" s="42">
        <f t="shared" si="0"/>
        <v>395.64</v>
      </c>
      <c r="I12" s="42">
        <f t="shared" si="1"/>
        <v>6591.079999999999</v>
      </c>
      <c r="J12" s="42">
        <f>'MB1'!AA8+'MB2'!AA8</f>
        <v>1259.4000000000001</v>
      </c>
      <c r="K12" s="42">
        <f t="shared" si="2"/>
        <v>5331.6799999999985</v>
      </c>
      <c r="L12" s="4" t="s">
        <v>3</v>
      </c>
      <c r="M12" s="17" t="s">
        <v>6</v>
      </c>
      <c r="O12" s="101"/>
      <c r="Q12" s="101"/>
    </row>
    <row r="13" spans="1:17" ht="13.5" customHeight="1" x14ac:dyDescent="0.3">
      <c r="A13" s="33">
        <v>4</v>
      </c>
      <c r="B13" s="24" t="s">
        <v>164</v>
      </c>
      <c r="C13" s="19" t="s">
        <v>169</v>
      </c>
      <c r="D13" s="4" t="s">
        <v>9</v>
      </c>
      <c r="E13" s="42">
        <f>'MB1'!T9+'MB2'!T9</f>
        <v>8716.8979999999992</v>
      </c>
      <c r="F13" s="42">
        <f>'MB1'!U9+'MB2'!U9</f>
        <v>817.08</v>
      </c>
      <c r="G13" s="42">
        <f>'MB1'!V9+'MB2'!V9</f>
        <v>96.22</v>
      </c>
      <c r="H13" s="42">
        <f t="shared" si="0"/>
        <v>913.30000000000007</v>
      </c>
      <c r="I13" s="42">
        <f t="shared" si="1"/>
        <v>7803.597999999999</v>
      </c>
      <c r="J13" s="42">
        <f>'MB1'!AA9+'MB2'!AA9</f>
        <v>2201.1</v>
      </c>
      <c r="K13" s="42">
        <f t="shared" si="2"/>
        <v>5602.4979999999996</v>
      </c>
      <c r="L13" s="4" t="s">
        <v>3</v>
      </c>
      <c r="M13" s="17" t="s">
        <v>6</v>
      </c>
      <c r="O13" s="101"/>
      <c r="Q13" s="101"/>
    </row>
    <row r="14" spans="1:17" ht="13.5" customHeight="1" x14ac:dyDescent="0.3">
      <c r="A14" s="33">
        <v>5</v>
      </c>
      <c r="B14" s="24" t="s">
        <v>167</v>
      </c>
      <c r="C14" s="19" t="s">
        <v>13</v>
      </c>
      <c r="D14" s="4" t="s">
        <v>12</v>
      </c>
      <c r="E14" s="42">
        <f>'MB1'!T10+'MB2'!T10</f>
        <v>10447.796</v>
      </c>
      <c r="F14" s="42">
        <f>'MB1'!U10+'MB2'!U10</f>
        <v>1042.67</v>
      </c>
      <c r="G14" s="42">
        <f>'MB1'!V10+'MB2'!V10</f>
        <v>101.72</v>
      </c>
      <c r="H14" s="42">
        <f t="shared" si="0"/>
        <v>1144.3900000000001</v>
      </c>
      <c r="I14" s="42">
        <f t="shared" si="1"/>
        <v>9303.4060000000009</v>
      </c>
      <c r="J14" s="42">
        <f>'MB1'!AA10+'MB2'!AA10</f>
        <v>2179.09</v>
      </c>
      <c r="K14" s="42">
        <f t="shared" si="2"/>
        <v>7124.3160000000007</v>
      </c>
      <c r="L14" s="4" t="s">
        <v>3</v>
      </c>
      <c r="M14" s="17" t="s">
        <v>11</v>
      </c>
      <c r="O14" s="101"/>
      <c r="Q14" s="101"/>
    </row>
    <row r="15" spans="1:17" ht="13.5" customHeight="1" x14ac:dyDescent="0.3">
      <c r="A15" s="33">
        <v>6</v>
      </c>
      <c r="B15" s="24" t="s">
        <v>148</v>
      </c>
      <c r="C15" s="20" t="s">
        <v>16</v>
      </c>
      <c r="D15" s="4" t="s">
        <v>15</v>
      </c>
      <c r="E15" s="42">
        <f>'MB1'!T11+'MB2'!T11</f>
        <v>9672.0226666666658</v>
      </c>
      <c r="F15" s="42">
        <f>'MB1'!U11+'MB2'!U11</f>
        <v>988.24</v>
      </c>
      <c r="G15" s="42">
        <f>'MB1'!V11+'MB2'!V11</f>
        <v>88.56</v>
      </c>
      <c r="H15" s="42">
        <f t="shared" si="0"/>
        <v>1076.8</v>
      </c>
      <c r="I15" s="42">
        <f t="shared" si="1"/>
        <v>8595.2226666666666</v>
      </c>
      <c r="J15" s="42">
        <f>'MB1'!AA11+'MB2'!AA11</f>
        <v>2114.9764</v>
      </c>
      <c r="K15" s="42">
        <f t="shared" si="2"/>
        <v>6480.246266666667</v>
      </c>
      <c r="L15" s="4" t="s">
        <v>3</v>
      </c>
      <c r="M15" s="17" t="s">
        <v>14</v>
      </c>
      <c r="O15" s="101"/>
      <c r="Q15" s="101"/>
    </row>
    <row r="16" spans="1:17" ht="13.5" customHeight="1" x14ac:dyDescent="0.3">
      <c r="A16" s="33">
        <v>7</v>
      </c>
      <c r="B16" s="24" t="s">
        <v>149</v>
      </c>
      <c r="C16" s="20" t="s">
        <v>18</v>
      </c>
      <c r="D16" s="4" t="s">
        <v>15</v>
      </c>
      <c r="E16" s="42">
        <f>'MB1'!T12+'MB2'!T12</f>
        <v>11671.520000000002</v>
      </c>
      <c r="F16" s="42">
        <f>'MB1'!U12+'MB2'!U12</f>
        <v>1406.14</v>
      </c>
      <c r="G16" s="42">
        <f>'MB1'!V12+'MB2'!V12</f>
        <v>120.34</v>
      </c>
      <c r="H16" s="42">
        <f t="shared" si="0"/>
        <v>1526.48</v>
      </c>
      <c r="I16" s="42">
        <f t="shared" si="1"/>
        <v>10145.040000000003</v>
      </c>
      <c r="J16" s="42">
        <f>'MB1'!AA12+'MB2'!AA12</f>
        <v>2900.02</v>
      </c>
      <c r="K16" s="42">
        <f t="shared" si="2"/>
        <v>7245.0200000000023</v>
      </c>
      <c r="L16" s="4" t="s">
        <v>3</v>
      </c>
      <c r="M16" s="17" t="s">
        <v>14</v>
      </c>
      <c r="O16" s="101"/>
      <c r="Q16" s="101"/>
    </row>
    <row r="17" spans="1:17" ht="13.5" customHeight="1" x14ac:dyDescent="0.3">
      <c r="A17" s="33">
        <v>8</v>
      </c>
      <c r="B17" s="24" t="s">
        <v>156</v>
      </c>
      <c r="C17" s="19" t="s">
        <v>19</v>
      </c>
      <c r="D17" s="4" t="s">
        <v>15</v>
      </c>
      <c r="E17" s="42">
        <f>'MB1'!T13+'MB2'!T13</f>
        <v>8913.9399999999987</v>
      </c>
      <c r="F17" s="42">
        <f>'MB1'!U13+'MB2'!U13</f>
        <v>857.99</v>
      </c>
      <c r="G17" s="42">
        <f>'MB1'!V13+'MB2'!V13</f>
        <v>71.459999999999994</v>
      </c>
      <c r="H17" s="42">
        <f t="shared" si="0"/>
        <v>929.45</v>
      </c>
      <c r="I17" s="42">
        <f t="shared" si="1"/>
        <v>7984.4899999999989</v>
      </c>
      <c r="J17" s="42">
        <f>'MB1'!AA13+'MB2'!AA13</f>
        <v>2248.33</v>
      </c>
      <c r="K17" s="42">
        <f t="shared" si="2"/>
        <v>5736.1599999999989</v>
      </c>
      <c r="L17" s="4" t="s">
        <v>3</v>
      </c>
      <c r="M17" s="17" t="s">
        <v>14</v>
      </c>
      <c r="O17" s="101"/>
      <c r="Q17" s="101"/>
    </row>
    <row r="18" spans="1:17" ht="13.5" customHeight="1" x14ac:dyDescent="0.3">
      <c r="A18" s="33">
        <v>9</v>
      </c>
      <c r="B18" s="25" t="s">
        <v>165</v>
      </c>
      <c r="C18" s="20" t="s">
        <v>21</v>
      </c>
      <c r="D18" s="4" t="s">
        <v>17</v>
      </c>
      <c r="E18" s="42">
        <f>'MB1'!T14+'MB2'!T14</f>
        <v>7177.4560000000001</v>
      </c>
      <c r="F18" s="42">
        <f>'MB1'!U14+'MB2'!U14</f>
        <v>469.16</v>
      </c>
      <c r="G18" s="42">
        <f>'MB1'!V14+'MB2'!V14</f>
        <v>85.64</v>
      </c>
      <c r="H18" s="42">
        <f t="shared" si="0"/>
        <v>554.80000000000007</v>
      </c>
      <c r="I18" s="42">
        <f t="shared" si="1"/>
        <v>6622.6559999999999</v>
      </c>
      <c r="J18" s="42">
        <f>'MB1'!AA14+'MB2'!AA14</f>
        <v>2073.6000000000004</v>
      </c>
      <c r="K18" s="42">
        <f t="shared" si="2"/>
        <v>4549.0559999999996</v>
      </c>
      <c r="L18" s="4" t="s">
        <v>20</v>
      </c>
      <c r="M18" s="18" t="s">
        <v>14</v>
      </c>
      <c r="O18" s="101"/>
      <c r="Q18" s="101"/>
    </row>
    <row r="19" spans="1:17" ht="13.5" customHeight="1" x14ac:dyDescent="0.3">
      <c r="A19" s="33">
        <v>10</v>
      </c>
      <c r="B19" s="25" t="s">
        <v>166</v>
      </c>
      <c r="C19" s="20" t="s">
        <v>22</v>
      </c>
      <c r="D19" s="4" t="s">
        <v>17</v>
      </c>
      <c r="E19" s="42">
        <f>'MB1'!T15+'MB2'!T15</f>
        <v>6104.68</v>
      </c>
      <c r="F19" s="42">
        <f>'MB1'!U15+'MB2'!U15</f>
        <v>185.57000000000002</v>
      </c>
      <c r="G19" s="42">
        <f>'MB1'!V15+'MB2'!V15</f>
        <v>60.26</v>
      </c>
      <c r="H19" s="42">
        <f t="shared" si="0"/>
        <v>245.83</v>
      </c>
      <c r="I19" s="42">
        <f t="shared" si="1"/>
        <v>5858.85</v>
      </c>
      <c r="J19" s="42">
        <f>'MB1'!AA15+'MB2'!AA15</f>
        <v>270.09000000000003</v>
      </c>
      <c r="K19" s="42">
        <f t="shared" si="2"/>
        <v>5588.76</v>
      </c>
      <c r="L19" s="4" t="s">
        <v>3</v>
      </c>
      <c r="M19" s="18" t="s">
        <v>14</v>
      </c>
      <c r="O19" s="101"/>
      <c r="Q19" s="101"/>
    </row>
    <row r="20" spans="1:17" ht="13.5" customHeight="1" x14ac:dyDescent="0.3">
      <c r="A20" s="33">
        <v>11</v>
      </c>
      <c r="B20" s="24" t="s">
        <v>146</v>
      </c>
      <c r="C20" s="19" t="s">
        <v>26</v>
      </c>
      <c r="D20" s="4" t="s">
        <v>25</v>
      </c>
      <c r="E20" s="42">
        <f>'MB1'!T16+'MB2'!T16</f>
        <v>3283.6779999999999</v>
      </c>
      <c r="F20" s="42">
        <f>'MB1'!U16+'MB2'!U16</f>
        <v>0</v>
      </c>
      <c r="G20" s="42">
        <f>'MB1'!V16+'MB2'!V16</f>
        <v>45.68</v>
      </c>
      <c r="H20" s="42">
        <f t="shared" si="0"/>
        <v>45.68</v>
      </c>
      <c r="I20" s="42">
        <f t="shared" si="1"/>
        <v>3237.998</v>
      </c>
      <c r="J20" s="42">
        <f>'MB1'!AA16+'MB2'!AA16</f>
        <v>45.68</v>
      </c>
      <c r="K20" s="42">
        <f t="shared" si="2"/>
        <v>3192.3180000000002</v>
      </c>
      <c r="L20" s="4" t="s">
        <v>20</v>
      </c>
      <c r="M20" s="17" t="s">
        <v>24</v>
      </c>
      <c r="O20" s="101"/>
      <c r="Q20" s="101"/>
    </row>
    <row r="21" spans="1:17" ht="13.5" customHeight="1" x14ac:dyDescent="0.3">
      <c r="A21" s="33">
        <v>12</v>
      </c>
      <c r="B21" s="24" t="s">
        <v>147</v>
      </c>
      <c r="C21" s="19" t="s">
        <v>27</v>
      </c>
      <c r="D21" s="4" t="s">
        <v>25</v>
      </c>
      <c r="E21" s="42">
        <f>'MB1'!T17+'MB2'!T17</f>
        <v>6283.9973333333328</v>
      </c>
      <c r="F21" s="42">
        <f>'MB1'!U17+'MB2'!U17</f>
        <v>205.08</v>
      </c>
      <c r="G21" s="42">
        <f>'MB1'!V17+'MB2'!V17</f>
        <v>103.36</v>
      </c>
      <c r="H21" s="42">
        <f t="shared" si="0"/>
        <v>308.44</v>
      </c>
      <c r="I21" s="42">
        <f t="shared" si="1"/>
        <v>5975.5573333333332</v>
      </c>
      <c r="J21" s="42">
        <f>'MB1'!AA17+'MB2'!AA17</f>
        <v>1481.1000000000001</v>
      </c>
      <c r="K21" s="42">
        <f t="shared" si="2"/>
        <v>4494.4573333333328</v>
      </c>
      <c r="L21" s="4" t="s">
        <v>20</v>
      </c>
      <c r="M21" s="17" t="s">
        <v>24</v>
      </c>
      <c r="O21" s="101"/>
      <c r="Q21" s="101"/>
    </row>
    <row r="22" spans="1:17" ht="13.5" customHeight="1" x14ac:dyDescent="0.25">
      <c r="A22" s="33">
        <v>13</v>
      </c>
      <c r="B22" s="24" t="s">
        <v>150</v>
      </c>
      <c r="C22" s="20" t="s">
        <v>29</v>
      </c>
      <c r="D22" s="4" t="s">
        <v>28</v>
      </c>
      <c r="E22" s="42">
        <f>'MB1'!T18+'MB2'!T18</f>
        <v>15809.712</v>
      </c>
      <c r="F22" s="42">
        <f>'MB1'!U18+'MB2'!U18</f>
        <v>2197.1400000000003</v>
      </c>
      <c r="G22" s="42">
        <f>'MB1'!V18+'MB2'!V18</f>
        <v>222.98</v>
      </c>
      <c r="H22" s="42">
        <f t="shared" si="0"/>
        <v>2420.1200000000003</v>
      </c>
      <c r="I22" s="42">
        <f t="shared" si="1"/>
        <v>13389.591999999999</v>
      </c>
      <c r="J22" s="42">
        <f>'MB1'!AA18+'MB2'!AA18</f>
        <v>2500.8599999999997</v>
      </c>
      <c r="K22" s="42">
        <f t="shared" si="2"/>
        <v>10888.732</v>
      </c>
      <c r="L22" s="4" t="s">
        <v>3</v>
      </c>
      <c r="M22" s="17" t="s">
        <v>24</v>
      </c>
      <c r="O22" s="101"/>
      <c r="Q22" s="101"/>
    </row>
    <row r="23" spans="1:17" ht="13.5" customHeight="1" x14ac:dyDescent="0.3">
      <c r="A23" s="33">
        <v>14</v>
      </c>
      <c r="B23" s="24" t="s">
        <v>151</v>
      </c>
      <c r="C23" s="20" t="s">
        <v>31</v>
      </c>
      <c r="D23" s="4" t="s">
        <v>30</v>
      </c>
      <c r="E23" s="42">
        <f>'MB1'!T19+'MB2'!T19</f>
        <v>9211.9346666666679</v>
      </c>
      <c r="F23" s="42">
        <f>'MB1'!U19+'MB2'!U19</f>
        <v>905.79</v>
      </c>
      <c r="G23" s="42">
        <f>'MB1'!V19+'MB2'!V19</f>
        <v>129.41999999999999</v>
      </c>
      <c r="H23" s="42">
        <f t="shared" si="0"/>
        <v>1035.21</v>
      </c>
      <c r="I23" s="42">
        <f t="shared" si="1"/>
        <v>8176.7246666666679</v>
      </c>
      <c r="J23" s="42">
        <f>'MB1'!AA19+'MB2'!AA19</f>
        <v>1081.71</v>
      </c>
      <c r="K23" s="42">
        <f t="shared" si="2"/>
        <v>7095.0146666666678</v>
      </c>
      <c r="L23" s="4" t="s">
        <v>3</v>
      </c>
      <c r="M23" s="17" t="s">
        <v>24</v>
      </c>
      <c r="O23" s="101"/>
      <c r="Q23" s="101"/>
    </row>
    <row r="24" spans="1:17" ht="13.5" customHeight="1" x14ac:dyDescent="0.3">
      <c r="A24" s="33">
        <v>15</v>
      </c>
      <c r="B24" s="24" t="s">
        <v>152</v>
      </c>
      <c r="C24" s="19" t="s">
        <v>32</v>
      </c>
      <c r="D24" s="4" t="s">
        <v>30</v>
      </c>
      <c r="E24" s="42">
        <f>'MB1'!T20+'MB2'!T20</f>
        <v>8913.8860000000022</v>
      </c>
      <c r="F24" s="42">
        <f>'MB1'!U20+'MB2'!U20</f>
        <v>858.38000000000011</v>
      </c>
      <c r="G24" s="42">
        <f>'MB1'!V20+'MB2'!V20</f>
        <v>70.66</v>
      </c>
      <c r="H24" s="42">
        <f t="shared" si="0"/>
        <v>929.04000000000008</v>
      </c>
      <c r="I24" s="42">
        <f t="shared" si="1"/>
        <v>7984.8460000000023</v>
      </c>
      <c r="J24" s="42">
        <f>'MB1'!AA20+'MB2'!AA20</f>
        <v>2633.2200000000003</v>
      </c>
      <c r="K24" s="42">
        <f t="shared" si="2"/>
        <v>5351.626000000002</v>
      </c>
      <c r="L24" s="4" t="s">
        <v>3</v>
      </c>
      <c r="M24" s="17" t="s">
        <v>24</v>
      </c>
      <c r="O24" s="101"/>
      <c r="Q24" s="101"/>
    </row>
    <row r="25" spans="1:17" ht="13.5" customHeight="1" x14ac:dyDescent="0.3">
      <c r="A25" s="33">
        <v>16</v>
      </c>
      <c r="B25" s="24" t="s">
        <v>155</v>
      </c>
      <c r="C25" s="19" t="s">
        <v>34</v>
      </c>
      <c r="D25" s="4" t="s">
        <v>305</v>
      </c>
      <c r="E25" s="42">
        <f>'MB1'!T21+'MB2'!T21</f>
        <v>10218.657333333333</v>
      </c>
      <c r="F25" s="42">
        <f>'MB1'!U21+'MB2'!U21</f>
        <v>1088.32</v>
      </c>
      <c r="G25" s="42">
        <f>'MB1'!V21+'MB2'!V21</f>
        <v>179.78</v>
      </c>
      <c r="H25" s="42">
        <f t="shared" si="0"/>
        <v>1268.0999999999999</v>
      </c>
      <c r="I25" s="42">
        <f t="shared" si="1"/>
        <v>8950.5573333333323</v>
      </c>
      <c r="J25" s="42">
        <f>'MB1'!AA21+'MB2'!AA21</f>
        <v>1268.0999999999999</v>
      </c>
      <c r="K25" s="42">
        <f t="shared" si="2"/>
        <v>7682.4573333333319</v>
      </c>
      <c r="L25" s="4" t="s">
        <v>20</v>
      </c>
      <c r="M25" s="17" t="s">
        <v>24</v>
      </c>
      <c r="O25" s="101"/>
      <c r="Q25" s="101"/>
    </row>
    <row r="26" spans="1:17" ht="13.5" customHeight="1" x14ac:dyDescent="0.3">
      <c r="A26" s="33">
        <v>17</v>
      </c>
      <c r="B26" s="24" t="s">
        <v>157</v>
      </c>
      <c r="C26" s="19" t="s">
        <v>35</v>
      </c>
      <c r="D26" s="4" t="s">
        <v>30</v>
      </c>
      <c r="E26" s="42">
        <f>'MB1'!T22+'MB2'!T22</f>
        <v>5079.0066666666662</v>
      </c>
      <c r="F26" s="42">
        <f>'MB1'!U22+'MB2'!U22</f>
        <v>59.64</v>
      </c>
      <c r="G26" s="42">
        <f>'MB1'!V22+'MB2'!V22</f>
        <v>64.739999999999995</v>
      </c>
      <c r="H26" s="42">
        <f t="shared" si="0"/>
        <v>124.38</v>
      </c>
      <c r="I26" s="42">
        <f t="shared" si="1"/>
        <v>4954.6266666666661</v>
      </c>
      <c r="J26" s="42">
        <f>'MB1'!AA22+'MB2'!AA22</f>
        <v>955.68</v>
      </c>
      <c r="K26" s="42">
        <f t="shared" si="2"/>
        <v>3998.9466666666663</v>
      </c>
      <c r="L26" s="4" t="s">
        <v>3</v>
      </c>
      <c r="M26" s="17" t="s">
        <v>24</v>
      </c>
      <c r="O26" s="101"/>
      <c r="Q26" s="101"/>
    </row>
    <row r="27" spans="1:17" ht="13.5" customHeight="1" x14ac:dyDescent="0.3">
      <c r="A27" s="33">
        <v>18</v>
      </c>
      <c r="B27" s="24" t="s">
        <v>158</v>
      </c>
      <c r="C27" s="19" t="s">
        <v>36</v>
      </c>
      <c r="D27" s="4" t="s">
        <v>306</v>
      </c>
      <c r="E27" s="42">
        <f>'MB1'!T23+'MB2'!T23</f>
        <v>8933.2520000000004</v>
      </c>
      <c r="F27" s="42">
        <f>'MB1'!U23+'MB2'!U23</f>
        <v>856.01</v>
      </c>
      <c r="G27" s="42">
        <f>'MB1'!V23+'MB2'!V23</f>
        <v>184.82</v>
      </c>
      <c r="H27" s="42">
        <f t="shared" si="0"/>
        <v>1040.83</v>
      </c>
      <c r="I27" s="42">
        <f t="shared" si="1"/>
        <v>7892.4220000000005</v>
      </c>
      <c r="J27" s="42">
        <f>'MB1'!AA23+'MB2'!AA23</f>
        <v>3398.2099999999996</v>
      </c>
      <c r="K27" s="42">
        <f t="shared" si="2"/>
        <v>4494.2120000000014</v>
      </c>
      <c r="L27" s="4" t="s">
        <v>3</v>
      </c>
      <c r="M27" s="17" t="s">
        <v>24</v>
      </c>
      <c r="O27" s="101"/>
      <c r="Q27" s="101"/>
    </row>
    <row r="28" spans="1:17" ht="13.5" customHeight="1" x14ac:dyDescent="0.3">
      <c r="A28" s="33">
        <v>19</v>
      </c>
      <c r="B28" s="24" t="s">
        <v>159</v>
      </c>
      <c r="C28" s="19" t="s">
        <v>37</v>
      </c>
      <c r="D28" s="4" t="s">
        <v>25</v>
      </c>
      <c r="E28" s="42">
        <f>'MB1'!T24+'MB2'!T24</f>
        <v>6012.2026666666661</v>
      </c>
      <c r="F28" s="42">
        <f>'MB1'!U24+'MB2'!U24</f>
        <v>175.51</v>
      </c>
      <c r="G28" s="42">
        <f>'MB1'!V24+'MB2'!V24</f>
        <v>103.72</v>
      </c>
      <c r="H28" s="42">
        <f t="shared" si="0"/>
        <v>279.23</v>
      </c>
      <c r="I28" s="42">
        <f t="shared" si="1"/>
        <v>5732.9726666666666</v>
      </c>
      <c r="J28" s="42">
        <f>'MB1'!AA24+'MB2'!AA24</f>
        <v>279.23</v>
      </c>
      <c r="K28" s="42">
        <f t="shared" si="2"/>
        <v>5453.742666666667</v>
      </c>
      <c r="L28" s="4" t="s">
        <v>20</v>
      </c>
      <c r="M28" s="17" t="s">
        <v>24</v>
      </c>
      <c r="O28" s="101"/>
      <c r="Q28" s="101"/>
    </row>
    <row r="29" spans="1:17" ht="13.5" customHeight="1" x14ac:dyDescent="0.25">
      <c r="A29" s="33">
        <v>20</v>
      </c>
      <c r="B29" s="24" t="s">
        <v>160</v>
      </c>
      <c r="C29" s="19" t="s">
        <v>38</v>
      </c>
      <c r="D29" s="4" t="s">
        <v>30</v>
      </c>
      <c r="E29" s="42">
        <f>'MB1'!T25+'MB2'!T25</f>
        <v>7601.68</v>
      </c>
      <c r="F29" s="42">
        <f>'MB1'!U25+'MB2'!U25</f>
        <v>532.31999999999994</v>
      </c>
      <c r="G29" s="42">
        <f>'MB1'!V25+'MB2'!V25</f>
        <v>106</v>
      </c>
      <c r="H29" s="42">
        <f t="shared" si="0"/>
        <v>638.31999999999994</v>
      </c>
      <c r="I29" s="42">
        <f t="shared" si="1"/>
        <v>6963.3600000000006</v>
      </c>
      <c r="J29" s="42">
        <f>'MB1'!AA25+'MB2'!AA25</f>
        <v>2124.6400000000003</v>
      </c>
      <c r="K29" s="42">
        <f t="shared" si="2"/>
        <v>4838.72</v>
      </c>
      <c r="L29" s="4" t="s">
        <v>3</v>
      </c>
      <c r="M29" s="17" t="s">
        <v>24</v>
      </c>
      <c r="O29" s="101"/>
      <c r="Q29" s="101"/>
    </row>
    <row r="30" spans="1:17" ht="13.5" customHeight="1" x14ac:dyDescent="0.25">
      <c r="A30" s="33">
        <v>21</v>
      </c>
      <c r="B30" s="24" t="s">
        <v>162</v>
      </c>
      <c r="C30" s="19" t="s">
        <v>40</v>
      </c>
      <c r="D30" s="4" t="s">
        <v>301</v>
      </c>
      <c r="E30" s="42">
        <f>'MB1'!T26+'MB2'!T26</f>
        <v>23658.423333333332</v>
      </c>
      <c r="F30" s="42">
        <f>'MB1'!U26+'MB2'!U26</f>
        <v>4027.09</v>
      </c>
      <c r="G30" s="42">
        <f>'MB1'!V26+'MB2'!V26</f>
        <v>397.98</v>
      </c>
      <c r="H30" s="42">
        <f t="shared" si="0"/>
        <v>4425.07</v>
      </c>
      <c r="I30" s="42">
        <f t="shared" si="1"/>
        <v>19233.353333333333</v>
      </c>
      <c r="J30" s="42">
        <f>'MB1'!AA26+'MB2'!AA26</f>
        <v>6905.75</v>
      </c>
      <c r="K30" s="42">
        <f t="shared" si="2"/>
        <v>12327.603333333333</v>
      </c>
      <c r="L30" s="4" t="s">
        <v>20</v>
      </c>
      <c r="M30" s="17" t="s">
        <v>24</v>
      </c>
      <c r="O30" s="101"/>
      <c r="Q30" s="101"/>
    </row>
    <row r="31" spans="1:17" ht="13.5" customHeight="1" x14ac:dyDescent="0.25">
      <c r="A31" s="33">
        <v>22</v>
      </c>
      <c r="B31" s="24" t="s">
        <v>163</v>
      </c>
      <c r="C31" s="19" t="s">
        <v>41</v>
      </c>
      <c r="D31" s="4" t="s">
        <v>30</v>
      </c>
      <c r="E31" s="42">
        <f>'MB1'!T27+'MB2'!T27</f>
        <v>7204.3680000000013</v>
      </c>
      <c r="F31" s="42">
        <f>'MB1'!U27+'MB2'!U27</f>
        <v>457.99</v>
      </c>
      <c r="G31" s="42">
        <f>'MB1'!V27+'MB2'!V27</f>
        <v>78.62</v>
      </c>
      <c r="H31" s="42">
        <f t="shared" si="0"/>
        <v>536.61</v>
      </c>
      <c r="I31" s="42">
        <f t="shared" si="1"/>
        <v>6667.7580000000016</v>
      </c>
      <c r="J31" s="42">
        <f>'MB1'!AA27+'MB2'!AA27</f>
        <v>568.27</v>
      </c>
      <c r="K31" s="42">
        <f t="shared" si="2"/>
        <v>6099.4880000000012</v>
      </c>
      <c r="L31" s="4" t="s">
        <v>3</v>
      </c>
      <c r="M31" s="17" t="s">
        <v>24</v>
      </c>
      <c r="O31" s="101"/>
      <c r="Q31" s="101"/>
    </row>
    <row r="32" spans="1:17" ht="13.5" customHeight="1" x14ac:dyDescent="0.25">
      <c r="A32" s="33">
        <v>23</v>
      </c>
      <c r="B32" s="24" t="s">
        <v>168</v>
      </c>
      <c r="C32" s="19" t="s">
        <v>43</v>
      </c>
      <c r="D32" s="4" t="s">
        <v>42</v>
      </c>
      <c r="E32" s="42">
        <f>'MB1'!T28+'MB2'!T28</f>
        <v>17706.403999999999</v>
      </c>
      <c r="F32" s="42">
        <f>'MB1'!U28+'MB2'!U28</f>
        <v>2687.7</v>
      </c>
      <c r="G32" s="42">
        <f>'MB1'!V28+'MB2'!V28</f>
        <v>282.02</v>
      </c>
      <c r="H32" s="42">
        <f t="shared" si="0"/>
        <v>2969.72</v>
      </c>
      <c r="I32" s="42">
        <f t="shared" si="1"/>
        <v>14736.683999999999</v>
      </c>
      <c r="J32" s="42">
        <f>'MB1'!AA28+'MB2'!AA28</f>
        <v>3049.72</v>
      </c>
      <c r="K32" s="42">
        <f t="shared" si="2"/>
        <v>11686.964</v>
      </c>
      <c r="L32" s="4" t="s">
        <v>3</v>
      </c>
      <c r="M32" s="17" t="s">
        <v>24</v>
      </c>
      <c r="O32" s="101"/>
      <c r="Q32" s="101"/>
    </row>
    <row r="33" spans="1:17" ht="13.5" customHeight="1" x14ac:dyDescent="0.25">
      <c r="A33" s="33">
        <v>24</v>
      </c>
      <c r="B33" s="24" t="s">
        <v>170</v>
      </c>
      <c r="C33" s="20" t="s">
        <v>46</v>
      </c>
      <c r="D33" s="4" t="s">
        <v>45</v>
      </c>
      <c r="E33" s="42">
        <f>'MB1'!T29+'MB2'!T29</f>
        <v>4661.119999999999</v>
      </c>
      <c r="F33" s="42">
        <f>'MB1'!U29+'MB2'!U29</f>
        <v>0</v>
      </c>
      <c r="G33" s="42">
        <f>'MB1'!V29+'MB2'!V29</f>
        <v>60.02</v>
      </c>
      <c r="H33" s="42">
        <f t="shared" si="0"/>
        <v>60.02</v>
      </c>
      <c r="I33" s="42">
        <f t="shared" si="1"/>
        <v>4601.0999999999985</v>
      </c>
      <c r="J33" s="42">
        <f>'MB1'!AA29+'MB2'!AA29</f>
        <v>1888.64</v>
      </c>
      <c r="K33" s="42">
        <f t="shared" si="2"/>
        <v>2712.4599999999982</v>
      </c>
      <c r="L33" s="4" t="s">
        <v>3</v>
      </c>
      <c r="M33" s="17" t="s">
        <v>44</v>
      </c>
      <c r="O33" s="101"/>
      <c r="Q33" s="101"/>
    </row>
    <row r="34" spans="1:17" ht="13.5" customHeight="1" x14ac:dyDescent="0.25">
      <c r="A34" s="33">
        <v>25</v>
      </c>
      <c r="B34" s="24" t="s">
        <v>171</v>
      </c>
      <c r="C34" s="20" t="s">
        <v>47</v>
      </c>
      <c r="D34" s="4" t="s">
        <v>25</v>
      </c>
      <c r="E34" s="42">
        <f>'MB1'!T30+'MB2'!T30</f>
        <v>4486.3546666666671</v>
      </c>
      <c r="F34" s="42">
        <f>'MB1'!U30+'MB2'!U30</f>
        <v>0</v>
      </c>
      <c r="G34" s="42">
        <f>'MB1'!V30+'MB2'!V30</f>
        <v>61.32</v>
      </c>
      <c r="H34" s="42">
        <f t="shared" si="0"/>
        <v>61.32</v>
      </c>
      <c r="I34" s="42">
        <f t="shared" si="1"/>
        <v>4425.0346666666674</v>
      </c>
      <c r="J34" s="42">
        <f>'MB1'!AA30+'MB2'!AA30</f>
        <v>86.02</v>
      </c>
      <c r="K34" s="42">
        <f t="shared" si="2"/>
        <v>4339.0146666666669</v>
      </c>
      <c r="L34" s="4" t="s">
        <v>3</v>
      </c>
      <c r="M34" s="17" t="s">
        <v>44</v>
      </c>
      <c r="O34" s="101"/>
      <c r="Q34" s="101"/>
    </row>
    <row r="35" spans="1:17" ht="13.5" customHeight="1" x14ac:dyDescent="0.25">
      <c r="A35" s="33">
        <v>26</v>
      </c>
      <c r="B35" s="24" t="s">
        <v>172</v>
      </c>
      <c r="C35" s="20" t="s">
        <v>48</v>
      </c>
      <c r="D35" s="4" t="s">
        <v>30</v>
      </c>
      <c r="E35" s="42">
        <f>'MB1'!T31+'MB2'!T31</f>
        <v>4111.32</v>
      </c>
      <c r="F35" s="42">
        <f>'MB1'!U31+'MB2'!U31</f>
        <v>0</v>
      </c>
      <c r="G35" s="42">
        <f>'MB1'!V31+'MB2'!V31</f>
        <v>65</v>
      </c>
      <c r="H35" s="42">
        <f t="shared" si="0"/>
        <v>65</v>
      </c>
      <c r="I35" s="42">
        <f t="shared" si="1"/>
        <v>4046.3199999999997</v>
      </c>
      <c r="J35" s="42">
        <f>'MB1'!AA31+'MB2'!AA31</f>
        <v>576.14</v>
      </c>
      <c r="K35" s="42">
        <f t="shared" si="2"/>
        <v>3470.18</v>
      </c>
      <c r="L35" s="4" t="s">
        <v>3</v>
      </c>
      <c r="M35" s="17" t="s">
        <v>44</v>
      </c>
      <c r="O35" s="101"/>
      <c r="Q35" s="101"/>
    </row>
    <row r="36" spans="1:17" ht="13.5" customHeight="1" x14ac:dyDescent="0.25">
      <c r="A36" s="33">
        <v>27</v>
      </c>
      <c r="B36" s="26" t="s">
        <v>173</v>
      </c>
      <c r="C36" s="21" t="s">
        <v>49</v>
      </c>
      <c r="D36" s="4" t="s">
        <v>30</v>
      </c>
      <c r="E36" s="42">
        <f>'MB1'!T32+'MB2'!T32</f>
        <v>3297.0000000000005</v>
      </c>
      <c r="F36" s="42">
        <f>'MB1'!U32+'MB2'!U32</f>
        <v>0</v>
      </c>
      <c r="G36" s="42">
        <f>'MB1'!V32+'MB2'!V32</f>
        <v>46.02</v>
      </c>
      <c r="H36" s="42">
        <f t="shared" si="0"/>
        <v>46.02</v>
      </c>
      <c r="I36" s="42">
        <f t="shared" si="1"/>
        <v>3250.9800000000005</v>
      </c>
      <c r="J36" s="42">
        <f>'MB1'!AA32+'MB2'!AA32</f>
        <v>46.02</v>
      </c>
      <c r="K36" s="42">
        <f t="shared" si="2"/>
        <v>3204.9600000000005</v>
      </c>
      <c r="L36" s="4" t="s">
        <v>20</v>
      </c>
      <c r="M36" s="17" t="s">
        <v>44</v>
      </c>
      <c r="O36" s="101"/>
      <c r="Q36" s="101"/>
    </row>
    <row r="37" spans="1:17" ht="13.5" customHeight="1" x14ac:dyDescent="0.25">
      <c r="A37" s="33">
        <v>28</v>
      </c>
      <c r="B37" s="24" t="s">
        <v>174</v>
      </c>
      <c r="C37" s="20" t="s">
        <v>51</v>
      </c>
      <c r="D37" s="4" t="s">
        <v>307</v>
      </c>
      <c r="E37" s="42">
        <f>'MB1'!T33+'MB2'!T33</f>
        <v>8165.5346666666655</v>
      </c>
      <c r="F37" s="42">
        <f>'MB1'!U33+'MB2'!U33</f>
        <v>724.66</v>
      </c>
      <c r="G37" s="42">
        <f>'MB1'!V33+'MB2'!V33</f>
        <v>135.47999999999999</v>
      </c>
      <c r="H37" s="42">
        <f t="shared" si="0"/>
        <v>860.14</v>
      </c>
      <c r="I37" s="42">
        <f t="shared" si="1"/>
        <v>7305.3946666666652</v>
      </c>
      <c r="J37" s="42">
        <f>'MB1'!AA33+'MB2'!AA33</f>
        <v>3288.8999999999996</v>
      </c>
      <c r="K37" s="42">
        <f t="shared" si="2"/>
        <v>4016.4946666666656</v>
      </c>
      <c r="L37" s="4" t="s">
        <v>3</v>
      </c>
      <c r="M37" s="17" t="s">
        <v>44</v>
      </c>
      <c r="O37" s="101"/>
      <c r="Q37" s="101"/>
    </row>
    <row r="38" spans="1:17" ht="13.5" customHeight="1" x14ac:dyDescent="0.25">
      <c r="A38" s="33">
        <v>29</v>
      </c>
      <c r="B38" s="24" t="s">
        <v>175</v>
      </c>
      <c r="C38" s="20" t="s">
        <v>53</v>
      </c>
      <c r="D38" s="4" t="s">
        <v>308</v>
      </c>
      <c r="E38" s="42">
        <f>'MB1'!T34+'MB2'!T34</f>
        <v>8359.5386666666654</v>
      </c>
      <c r="F38" s="42">
        <f>'MB1'!U34+'MB2'!U34</f>
        <v>755.7</v>
      </c>
      <c r="G38" s="42">
        <f>'MB1'!V34+'MB2'!V34</f>
        <v>135.47999999999999</v>
      </c>
      <c r="H38" s="42">
        <f t="shared" si="0"/>
        <v>891.18000000000006</v>
      </c>
      <c r="I38" s="42">
        <f t="shared" si="1"/>
        <v>7468.3586666666652</v>
      </c>
      <c r="J38" s="42">
        <f>'MB1'!AA34+'MB2'!AA34</f>
        <v>891.18000000000006</v>
      </c>
      <c r="K38" s="42">
        <f t="shared" si="2"/>
        <v>6577.1786666666649</v>
      </c>
      <c r="L38" s="4" t="s">
        <v>20</v>
      </c>
      <c r="M38" s="17" t="s">
        <v>44</v>
      </c>
      <c r="O38" s="101"/>
      <c r="Q38" s="101"/>
    </row>
    <row r="39" spans="1:17" ht="13.5" customHeight="1" x14ac:dyDescent="0.25">
      <c r="A39" s="33">
        <v>30</v>
      </c>
      <c r="B39" s="24" t="s">
        <v>176</v>
      </c>
      <c r="C39" s="22" t="s">
        <v>54</v>
      </c>
      <c r="D39" s="4" t="s">
        <v>52</v>
      </c>
      <c r="E39" s="42">
        <f>'MB1'!T35+'MB2'!T35</f>
        <v>6686.6346666666668</v>
      </c>
      <c r="F39" s="42">
        <f>'MB1'!U35+'MB2'!U35</f>
        <v>269.14</v>
      </c>
      <c r="G39" s="42">
        <f>'MB1'!V35+'MB2'!V35</f>
        <v>111.86</v>
      </c>
      <c r="H39" s="42">
        <f t="shared" si="0"/>
        <v>381</v>
      </c>
      <c r="I39" s="42">
        <f t="shared" si="1"/>
        <v>6305.6346666666668</v>
      </c>
      <c r="J39" s="42">
        <f>'MB1'!AA35+'MB2'!AA35</f>
        <v>1575.6</v>
      </c>
      <c r="K39" s="42">
        <f t="shared" si="2"/>
        <v>4730.0346666666665</v>
      </c>
      <c r="L39" s="4" t="s">
        <v>20</v>
      </c>
      <c r="M39" s="17" t="s">
        <v>44</v>
      </c>
      <c r="O39" s="101"/>
      <c r="Q39" s="101"/>
    </row>
    <row r="40" spans="1:17" ht="13.5" customHeight="1" x14ac:dyDescent="0.25">
      <c r="A40" s="33">
        <v>31</v>
      </c>
      <c r="B40" s="27" t="s">
        <v>182</v>
      </c>
      <c r="C40" s="15" t="s">
        <v>59</v>
      </c>
      <c r="D40" s="4" t="s">
        <v>52</v>
      </c>
      <c r="E40" s="11">
        <f>'ME1'!O5+'ME2'!O5</f>
        <v>7264.41</v>
      </c>
      <c r="F40" s="11">
        <f>'ME1'!P5+'ME2'!P5</f>
        <v>597.03</v>
      </c>
      <c r="G40" s="11">
        <f>'ME1'!R5+'ME2'!R5</f>
        <v>0</v>
      </c>
      <c r="H40" s="42">
        <f t="shared" si="0"/>
        <v>597.03</v>
      </c>
      <c r="I40" s="42">
        <f t="shared" si="1"/>
        <v>6667.38</v>
      </c>
      <c r="J40" s="42">
        <f>'ME1'!V5+'ME2'!V5</f>
        <v>597.03</v>
      </c>
      <c r="K40" s="42">
        <f t="shared" si="2"/>
        <v>6070.35</v>
      </c>
      <c r="L40" s="3" t="s">
        <v>58</v>
      </c>
      <c r="M40" s="3" t="s">
        <v>57</v>
      </c>
      <c r="O40" s="200"/>
      <c r="Q40" s="200"/>
    </row>
    <row r="41" spans="1:17" ht="13.5" customHeight="1" x14ac:dyDescent="0.25">
      <c r="A41" s="33">
        <v>32</v>
      </c>
      <c r="B41" s="28" t="s">
        <v>184</v>
      </c>
      <c r="C41" s="10" t="s">
        <v>61</v>
      </c>
      <c r="D41" s="4" t="s">
        <v>60</v>
      </c>
      <c r="E41" s="11">
        <f>'ME1'!O6+'ME2'!O6</f>
        <v>6487.5399999999991</v>
      </c>
      <c r="F41" s="11">
        <f>'ME1'!P6+'ME2'!P6</f>
        <v>526.61</v>
      </c>
      <c r="G41" s="11">
        <f>'ME1'!R6+'ME2'!R6</f>
        <v>80.459999999999994</v>
      </c>
      <c r="H41" s="42">
        <f t="shared" si="0"/>
        <v>607.07000000000005</v>
      </c>
      <c r="I41" s="42">
        <f t="shared" si="1"/>
        <v>5880.4699999999993</v>
      </c>
      <c r="J41" s="42">
        <f>'ME1'!V6+'ME2'!V6</f>
        <v>1107.0700000000002</v>
      </c>
      <c r="K41" s="42">
        <f t="shared" si="2"/>
        <v>4773.3999999999996</v>
      </c>
      <c r="L41" s="4" t="s">
        <v>58</v>
      </c>
      <c r="M41" s="4" t="s">
        <v>57</v>
      </c>
      <c r="O41" s="200"/>
      <c r="Q41" s="200"/>
    </row>
    <row r="42" spans="1:17" ht="13.5" customHeight="1" x14ac:dyDescent="0.25">
      <c r="A42" s="33">
        <v>33</v>
      </c>
      <c r="B42" s="28" t="s">
        <v>188</v>
      </c>
      <c r="C42" s="10" t="s">
        <v>63</v>
      </c>
      <c r="D42" s="4" t="s">
        <v>62</v>
      </c>
      <c r="E42" s="11">
        <f>'ME1'!O7+'ME2'!O7</f>
        <v>8593.11</v>
      </c>
      <c r="F42" s="11">
        <f>'ME1'!P7+'ME2'!P7</f>
        <v>799.43000000000006</v>
      </c>
      <c r="G42" s="11">
        <f>'ME1'!R7+'ME2'!R7</f>
        <v>93.76</v>
      </c>
      <c r="H42" s="42">
        <f t="shared" si="0"/>
        <v>893.19</v>
      </c>
      <c r="I42" s="42">
        <f t="shared" si="1"/>
        <v>7699.92</v>
      </c>
      <c r="J42" s="42">
        <f>'ME1'!V7+'ME2'!V7</f>
        <v>893.19</v>
      </c>
      <c r="K42" s="42">
        <f t="shared" si="2"/>
        <v>6806.73</v>
      </c>
      <c r="L42" s="4" t="s">
        <v>58</v>
      </c>
      <c r="M42" s="4" t="s">
        <v>57</v>
      </c>
      <c r="O42" s="200"/>
      <c r="Q42" s="200"/>
    </row>
    <row r="43" spans="1:17" ht="13.5" customHeight="1" x14ac:dyDescent="0.25">
      <c r="A43" s="33">
        <v>34</v>
      </c>
      <c r="B43" s="28" t="s">
        <v>190</v>
      </c>
      <c r="C43" s="10" t="s">
        <v>66</v>
      </c>
      <c r="D43" s="4" t="s">
        <v>297</v>
      </c>
      <c r="E43" s="11">
        <f>'ME1'!O8+'ME2'!O8</f>
        <v>22950</v>
      </c>
      <c r="F43" s="11">
        <f>'ME1'!P8+'ME2'!P8</f>
        <v>3860.46</v>
      </c>
      <c r="G43" s="11">
        <f>'ME1'!R8+'ME2'!R8</f>
        <v>112.52</v>
      </c>
      <c r="H43" s="42">
        <f t="shared" si="0"/>
        <v>3972.98</v>
      </c>
      <c r="I43" s="42">
        <f t="shared" si="1"/>
        <v>18977.02</v>
      </c>
      <c r="J43" s="42">
        <f>'ME1'!V8+'ME2'!V8</f>
        <v>4972.9800000000005</v>
      </c>
      <c r="K43" s="42">
        <f t="shared" si="2"/>
        <v>14004.04</v>
      </c>
      <c r="L43" s="4" t="s">
        <v>58</v>
      </c>
      <c r="M43" s="4" t="s">
        <v>57</v>
      </c>
      <c r="O43" s="200"/>
      <c r="Q43" s="200"/>
    </row>
    <row r="44" spans="1:17" ht="13.5" customHeight="1" x14ac:dyDescent="0.25">
      <c r="A44" s="33">
        <v>35</v>
      </c>
      <c r="B44" s="28" t="s">
        <v>204</v>
      </c>
      <c r="C44" s="11" t="s">
        <v>64</v>
      </c>
      <c r="D44" s="4" t="s">
        <v>17</v>
      </c>
      <c r="E44" s="11">
        <f>'ME1'!O9+'ME2'!O9</f>
        <v>6252</v>
      </c>
      <c r="F44" s="11">
        <f>'ME1'!P9+'ME2'!P9</f>
        <v>472</v>
      </c>
      <c r="G44" s="11">
        <f>'ME1'!R9+'ME2'!R9</f>
        <v>0</v>
      </c>
      <c r="H44" s="42">
        <f t="shared" si="0"/>
        <v>472</v>
      </c>
      <c r="I44" s="42">
        <f t="shared" si="1"/>
        <v>5780</v>
      </c>
      <c r="J44" s="42">
        <f>'ME1'!V9+'ME2'!V9</f>
        <v>472</v>
      </c>
      <c r="K44" s="42">
        <f t="shared" si="2"/>
        <v>5308</v>
      </c>
      <c r="L44" s="4" t="s">
        <v>58</v>
      </c>
      <c r="M44" s="4" t="s">
        <v>57</v>
      </c>
      <c r="O44" s="200"/>
      <c r="Q44" s="200"/>
    </row>
    <row r="45" spans="1:17" ht="13.5" customHeight="1" x14ac:dyDescent="0.25">
      <c r="A45" s="33">
        <v>36</v>
      </c>
      <c r="B45" s="28" t="s">
        <v>199</v>
      </c>
      <c r="C45" s="10" t="s">
        <v>69</v>
      </c>
      <c r="D45" s="4" t="s">
        <v>68</v>
      </c>
      <c r="E45" s="11">
        <f>'ME1'!O10+'ME2'!O10</f>
        <v>15247.9</v>
      </c>
      <c r="F45" s="11">
        <f>'ME1'!P10+'ME2'!P10</f>
        <v>2162.58</v>
      </c>
      <c r="G45" s="11">
        <f>'ME1'!R10+'ME2'!R10</f>
        <v>0</v>
      </c>
      <c r="H45" s="42">
        <f t="shared" si="0"/>
        <v>2162.58</v>
      </c>
      <c r="I45" s="42">
        <f t="shared" si="1"/>
        <v>13085.32</v>
      </c>
      <c r="J45" s="42">
        <f>'ME1'!V10+'ME2'!V10</f>
        <v>2162.58</v>
      </c>
      <c r="K45" s="42">
        <f t="shared" si="2"/>
        <v>10922.74</v>
      </c>
      <c r="L45" s="4" t="s">
        <v>58</v>
      </c>
      <c r="M45" s="4" t="s">
        <v>57</v>
      </c>
      <c r="O45" s="200"/>
      <c r="Q45" s="200"/>
    </row>
    <row r="46" spans="1:17" ht="13.5" customHeight="1" x14ac:dyDescent="0.25">
      <c r="A46" s="33">
        <v>37</v>
      </c>
      <c r="B46" s="28" t="s">
        <v>243</v>
      </c>
      <c r="C46" s="12" t="s">
        <v>239</v>
      </c>
      <c r="D46" s="4" t="s">
        <v>52</v>
      </c>
      <c r="E46" s="11">
        <f>'ME1'!O11+'ME2'!O11</f>
        <v>5778</v>
      </c>
      <c r="F46" s="11">
        <f>'ME1'!P11+'ME2'!P11</f>
        <v>420.48</v>
      </c>
      <c r="G46" s="11">
        <f>'ME1'!R11+'ME2'!R11</f>
        <v>0</v>
      </c>
      <c r="H46" s="42">
        <f t="shared" si="0"/>
        <v>420.48</v>
      </c>
      <c r="I46" s="42">
        <f t="shared" si="1"/>
        <v>5357.52</v>
      </c>
      <c r="J46" s="42">
        <f>'ME1'!V11+'ME2'!V11</f>
        <v>420.48</v>
      </c>
      <c r="K46" s="42">
        <f t="shared" si="2"/>
        <v>4937.0400000000009</v>
      </c>
      <c r="L46" s="4" t="s">
        <v>58</v>
      </c>
      <c r="M46" s="4" t="s">
        <v>57</v>
      </c>
      <c r="O46" s="200"/>
      <c r="Q46" s="200"/>
    </row>
    <row r="47" spans="1:17" ht="13.5" customHeight="1" x14ac:dyDescent="0.25">
      <c r="A47" s="33">
        <v>38</v>
      </c>
      <c r="B47" s="28" t="s">
        <v>299</v>
      </c>
      <c r="C47" s="12" t="s">
        <v>292</v>
      </c>
      <c r="D47" s="4" t="s">
        <v>296</v>
      </c>
      <c r="E47" s="11">
        <f>'ME1'!O12+'ME2'!O12</f>
        <v>8560</v>
      </c>
      <c r="F47" s="11">
        <f>'ME1'!P12+'ME2'!P12</f>
        <v>798.52</v>
      </c>
      <c r="G47" s="11">
        <f>'ME1'!R12+'ME2'!R12</f>
        <v>0</v>
      </c>
      <c r="H47" s="42">
        <f t="shared" si="0"/>
        <v>798.52</v>
      </c>
      <c r="I47" s="42">
        <f t="shared" si="1"/>
        <v>7761.48</v>
      </c>
      <c r="J47" s="42">
        <f>'ME1'!V12+'ME2'!V12</f>
        <v>798.52</v>
      </c>
      <c r="K47" s="42">
        <f t="shared" si="2"/>
        <v>6962.9599999999991</v>
      </c>
      <c r="L47" s="4" t="s">
        <v>58</v>
      </c>
      <c r="M47" s="4" t="s">
        <v>57</v>
      </c>
      <c r="O47" s="200"/>
      <c r="Q47" s="200"/>
    </row>
    <row r="48" spans="1:17" ht="13.5" customHeight="1" x14ac:dyDescent="0.25">
      <c r="A48" s="33">
        <v>39</v>
      </c>
      <c r="B48" s="28" t="s">
        <v>177</v>
      </c>
      <c r="C48" s="11" t="s">
        <v>71</v>
      </c>
      <c r="D48" s="4" t="s">
        <v>70</v>
      </c>
      <c r="E48" s="11">
        <f>'ME1'!O13+'ME2'!O13</f>
        <v>7400.2</v>
      </c>
      <c r="F48" s="11">
        <f>'ME1'!P13+'ME2'!P13</f>
        <v>602.20000000000005</v>
      </c>
      <c r="G48" s="11">
        <f>'ME1'!R13+'ME2'!R13</f>
        <v>0</v>
      </c>
      <c r="H48" s="42">
        <f t="shared" si="0"/>
        <v>602.20000000000005</v>
      </c>
      <c r="I48" s="42">
        <f t="shared" si="1"/>
        <v>6798</v>
      </c>
      <c r="J48" s="42">
        <f>'ME1'!V13+'ME2'!V13</f>
        <v>602.20000000000005</v>
      </c>
      <c r="K48" s="42">
        <f t="shared" si="2"/>
        <v>6195.8</v>
      </c>
      <c r="L48" s="4" t="s">
        <v>58</v>
      </c>
      <c r="M48" s="4" t="s">
        <v>6</v>
      </c>
      <c r="O48" s="200"/>
      <c r="Q48" s="200"/>
    </row>
    <row r="49" spans="1:17" ht="13.5" customHeight="1" x14ac:dyDescent="0.25">
      <c r="A49" s="33">
        <v>40</v>
      </c>
      <c r="B49" s="28" t="s">
        <v>181</v>
      </c>
      <c r="C49" s="10" t="s">
        <v>72</v>
      </c>
      <c r="D49" s="4" t="s">
        <v>17</v>
      </c>
      <c r="E49" s="11">
        <f>'ME1'!O14+'ME2'!O14</f>
        <v>6066.4000000000005</v>
      </c>
      <c r="F49" s="11">
        <f>'ME1'!P14+'ME2'!P14</f>
        <v>451.86</v>
      </c>
      <c r="G49" s="11">
        <f>'ME1'!R14+'ME2'!R14</f>
        <v>100</v>
      </c>
      <c r="H49" s="42">
        <f t="shared" si="0"/>
        <v>551.86</v>
      </c>
      <c r="I49" s="42">
        <f t="shared" si="1"/>
        <v>5514.5400000000009</v>
      </c>
      <c r="J49" s="42">
        <f>'ME1'!V14+'ME2'!V14</f>
        <v>551.86</v>
      </c>
      <c r="K49" s="42">
        <f t="shared" si="2"/>
        <v>4962.6800000000012</v>
      </c>
      <c r="L49" s="4" t="s">
        <v>58</v>
      </c>
      <c r="M49" s="4" t="s">
        <v>6</v>
      </c>
      <c r="O49" s="200"/>
      <c r="Q49" s="200"/>
    </row>
    <row r="50" spans="1:17" ht="13.5" customHeight="1" x14ac:dyDescent="0.25">
      <c r="A50" s="33">
        <v>41</v>
      </c>
      <c r="B50" s="28" t="s">
        <v>183</v>
      </c>
      <c r="C50" s="10" t="s">
        <v>74</v>
      </c>
      <c r="D50" s="4" t="s">
        <v>73</v>
      </c>
      <c r="E50" s="11">
        <f>'ME1'!O15+'ME2'!O15</f>
        <v>9256</v>
      </c>
      <c r="F50" s="11">
        <f>'ME1'!P15+'ME2'!P15</f>
        <v>913.68</v>
      </c>
      <c r="G50" s="11">
        <f>'ME1'!R15+'ME2'!R15</f>
        <v>0</v>
      </c>
      <c r="H50" s="42">
        <f t="shared" si="0"/>
        <v>913.68</v>
      </c>
      <c r="I50" s="42">
        <f t="shared" si="1"/>
        <v>8342.32</v>
      </c>
      <c r="J50" s="42">
        <f>'ME1'!V15+'ME2'!V15</f>
        <v>913.68</v>
      </c>
      <c r="K50" s="42">
        <f t="shared" si="2"/>
        <v>7428.6399999999994</v>
      </c>
      <c r="L50" s="4" t="s">
        <v>58</v>
      </c>
      <c r="M50" s="4" t="s">
        <v>6</v>
      </c>
      <c r="O50" s="200"/>
      <c r="Q50" s="200"/>
    </row>
    <row r="51" spans="1:17" ht="13.5" customHeight="1" x14ac:dyDescent="0.25">
      <c r="A51" s="33">
        <v>42</v>
      </c>
      <c r="B51" s="28" t="s">
        <v>185</v>
      </c>
      <c r="C51" s="10" t="s">
        <v>76</v>
      </c>
      <c r="D51" s="4" t="s">
        <v>75</v>
      </c>
      <c r="E51" s="11">
        <f>'ME1'!O16+'ME2'!O16</f>
        <v>20862</v>
      </c>
      <c r="F51" s="11">
        <f>'ME1'!P16+'ME2'!P16</f>
        <v>3367.36</v>
      </c>
      <c r="G51" s="11">
        <f>'ME1'!R16+'ME2'!R16</f>
        <v>0</v>
      </c>
      <c r="H51" s="42">
        <f t="shared" si="0"/>
        <v>3367.36</v>
      </c>
      <c r="I51" s="42">
        <f t="shared" si="1"/>
        <v>17494.64</v>
      </c>
      <c r="J51" s="42">
        <f>'ME1'!V16+'ME2'!V16</f>
        <v>3367.36</v>
      </c>
      <c r="K51" s="42">
        <f t="shared" si="2"/>
        <v>14127.279999999999</v>
      </c>
      <c r="L51" s="4" t="s">
        <v>58</v>
      </c>
      <c r="M51" s="4" t="s">
        <v>6</v>
      </c>
      <c r="O51" s="200"/>
      <c r="Q51" s="200"/>
    </row>
    <row r="52" spans="1:17" ht="13.5" customHeight="1" x14ac:dyDescent="0.25">
      <c r="A52" s="33">
        <v>43</v>
      </c>
      <c r="B52" s="28" t="s">
        <v>189</v>
      </c>
      <c r="C52" s="10" t="s">
        <v>77</v>
      </c>
      <c r="D52" s="4" t="s">
        <v>17</v>
      </c>
      <c r="E52" s="11">
        <f>'ME1'!O17+'ME2'!O17</f>
        <v>9448</v>
      </c>
      <c r="F52" s="11">
        <f>'ME1'!P17+'ME2'!P17</f>
        <v>948.09999999999991</v>
      </c>
      <c r="G52" s="11">
        <f>'ME1'!R17+'ME2'!R17</f>
        <v>75</v>
      </c>
      <c r="H52" s="42">
        <f t="shared" si="0"/>
        <v>1023.0999999999999</v>
      </c>
      <c r="I52" s="42">
        <f t="shared" si="1"/>
        <v>8424.9</v>
      </c>
      <c r="J52" s="42">
        <f>'ME1'!V17+'ME2'!V17</f>
        <v>1023.0999999999999</v>
      </c>
      <c r="K52" s="42">
        <f t="shared" si="2"/>
        <v>7401.7999999999993</v>
      </c>
      <c r="L52" s="4" t="s">
        <v>58</v>
      </c>
      <c r="M52" s="4" t="s">
        <v>6</v>
      </c>
      <c r="O52" s="200"/>
      <c r="Q52" s="200"/>
    </row>
    <row r="53" spans="1:17" ht="13.5" customHeight="1" x14ac:dyDescent="0.25">
      <c r="A53" s="33">
        <v>44</v>
      </c>
      <c r="B53" s="28" t="s">
        <v>194</v>
      </c>
      <c r="C53" s="10" t="s">
        <v>79</v>
      </c>
      <c r="D53" s="6" t="s">
        <v>78</v>
      </c>
      <c r="E53" s="11">
        <f>'ME1'!O18+'ME2'!O18</f>
        <v>4400.2000000000007</v>
      </c>
      <c r="F53" s="11">
        <f>'ME1'!P18+'ME2'!P18</f>
        <v>270.58</v>
      </c>
      <c r="G53" s="11">
        <f>'ME1'!R18+'ME2'!R18</f>
        <v>0</v>
      </c>
      <c r="H53" s="42">
        <f t="shared" si="0"/>
        <v>270.58</v>
      </c>
      <c r="I53" s="42">
        <f t="shared" si="1"/>
        <v>4129.6200000000008</v>
      </c>
      <c r="J53" s="42">
        <f>'ME1'!V18+'ME2'!V18</f>
        <v>270.58</v>
      </c>
      <c r="K53" s="42">
        <f t="shared" si="2"/>
        <v>3859.0400000000009</v>
      </c>
      <c r="L53" s="4" t="s">
        <v>58</v>
      </c>
      <c r="M53" s="6" t="s">
        <v>6</v>
      </c>
      <c r="O53" s="200"/>
      <c r="Q53" s="200"/>
    </row>
    <row r="54" spans="1:17" ht="13.5" customHeight="1" x14ac:dyDescent="0.25">
      <c r="A54" s="33">
        <v>45</v>
      </c>
      <c r="B54" s="28" t="s">
        <v>195</v>
      </c>
      <c r="C54" s="11" t="s">
        <v>80</v>
      </c>
      <c r="D54" s="4" t="s">
        <v>9</v>
      </c>
      <c r="E54" s="11">
        <f>'ME1'!O19+'ME2'!O19</f>
        <v>6132</v>
      </c>
      <c r="F54" s="11">
        <f>'ME1'!P19+'ME2'!P19</f>
        <v>458.99</v>
      </c>
      <c r="G54" s="11">
        <f>'ME1'!R19+'ME2'!R19</f>
        <v>0</v>
      </c>
      <c r="H54" s="42">
        <f t="shared" si="0"/>
        <v>458.99</v>
      </c>
      <c r="I54" s="42">
        <f t="shared" si="1"/>
        <v>5673.01</v>
      </c>
      <c r="J54" s="42">
        <f>'ME1'!V19+'ME2'!V19</f>
        <v>458.99</v>
      </c>
      <c r="K54" s="42">
        <f t="shared" si="2"/>
        <v>5214.0200000000004</v>
      </c>
      <c r="L54" s="4" t="s">
        <v>58</v>
      </c>
      <c r="M54" s="4" t="s">
        <v>6</v>
      </c>
      <c r="O54" s="200"/>
      <c r="Q54" s="200"/>
    </row>
    <row r="55" spans="1:17" ht="13.5" customHeight="1" x14ac:dyDescent="0.25">
      <c r="A55" s="33">
        <v>46</v>
      </c>
      <c r="B55" s="28" t="s">
        <v>205</v>
      </c>
      <c r="C55" s="11" t="s">
        <v>81</v>
      </c>
      <c r="D55" s="4" t="s">
        <v>17</v>
      </c>
      <c r="E55" s="11">
        <f>'ME1'!O20+'ME2'!O20</f>
        <v>3732</v>
      </c>
      <c r="F55" s="11">
        <f>'ME1'!P20+'ME2'!P20</f>
        <v>216.81</v>
      </c>
      <c r="G55" s="11">
        <f>'ME1'!R20+'ME2'!R20</f>
        <v>0</v>
      </c>
      <c r="H55" s="42">
        <f t="shared" si="0"/>
        <v>216.81</v>
      </c>
      <c r="I55" s="42">
        <f t="shared" si="1"/>
        <v>3515.19</v>
      </c>
      <c r="J55" s="42">
        <f>'ME1'!V20+'ME2'!V20</f>
        <v>216.81</v>
      </c>
      <c r="K55" s="42">
        <f t="shared" si="2"/>
        <v>3298.38</v>
      </c>
      <c r="L55" s="4" t="s">
        <v>58</v>
      </c>
      <c r="M55" s="4" t="s">
        <v>6</v>
      </c>
      <c r="O55" s="200"/>
      <c r="Q55" s="200"/>
    </row>
    <row r="56" spans="1:17" ht="13.5" customHeight="1" x14ac:dyDescent="0.25">
      <c r="A56" s="33">
        <v>47</v>
      </c>
      <c r="B56" s="28" t="s">
        <v>202</v>
      </c>
      <c r="C56" s="11" t="s">
        <v>82</v>
      </c>
      <c r="D56" s="9" t="s">
        <v>12</v>
      </c>
      <c r="E56" s="11">
        <f>'ME1'!O21+'ME2'!O21</f>
        <v>8973.2000000000007</v>
      </c>
      <c r="F56" s="11">
        <f>'ME1'!P21+'ME2'!P21</f>
        <v>776.83999999999992</v>
      </c>
      <c r="G56" s="11">
        <f>'ME1'!R21+'ME2'!R21</f>
        <v>0</v>
      </c>
      <c r="H56" s="42">
        <f t="shared" si="0"/>
        <v>776.83999999999992</v>
      </c>
      <c r="I56" s="42">
        <f t="shared" si="1"/>
        <v>8196.36</v>
      </c>
      <c r="J56" s="42">
        <f>'ME1'!V21+'ME2'!V21</f>
        <v>1776.84</v>
      </c>
      <c r="K56" s="42">
        <f t="shared" si="2"/>
        <v>6419.52</v>
      </c>
      <c r="L56" s="9" t="s">
        <v>58</v>
      </c>
      <c r="M56" s="9" t="s">
        <v>6</v>
      </c>
      <c r="O56" s="200"/>
      <c r="Q56" s="200"/>
    </row>
    <row r="57" spans="1:17" ht="13.5" customHeight="1" x14ac:dyDescent="0.25">
      <c r="A57" s="33">
        <v>48</v>
      </c>
      <c r="B57" s="28" t="s">
        <v>198</v>
      </c>
      <c r="C57" s="10" t="s">
        <v>84</v>
      </c>
      <c r="D57" s="4" t="s">
        <v>302</v>
      </c>
      <c r="E57" s="11">
        <f>'ME1'!O22+'ME2'!O22</f>
        <v>18950</v>
      </c>
      <c r="F57" s="11">
        <f>'ME1'!P22+'ME2'!P22</f>
        <v>2953.34</v>
      </c>
      <c r="G57" s="11">
        <f>'ME1'!R22+'ME2'!R22</f>
        <v>474.24</v>
      </c>
      <c r="H57" s="42">
        <f t="shared" si="0"/>
        <v>3427.58</v>
      </c>
      <c r="I57" s="42">
        <f t="shared" si="1"/>
        <v>15522.42</v>
      </c>
      <c r="J57" s="42">
        <f>'ME1'!V22+'ME2'!V22</f>
        <v>3427.58</v>
      </c>
      <c r="K57" s="42">
        <f t="shared" si="2"/>
        <v>12094.84</v>
      </c>
      <c r="L57" s="9" t="s">
        <v>58</v>
      </c>
      <c r="M57" s="9" t="s">
        <v>11</v>
      </c>
      <c r="O57" s="200"/>
      <c r="Q57" s="200"/>
    </row>
    <row r="58" spans="1:17" ht="13.5" customHeight="1" x14ac:dyDescent="0.25">
      <c r="A58" s="33">
        <v>49</v>
      </c>
      <c r="B58" s="28" t="s">
        <v>220</v>
      </c>
      <c r="C58" s="12" t="s">
        <v>132</v>
      </c>
      <c r="D58" s="4" t="s">
        <v>303</v>
      </c>
      <c r="E58" s="11">
        <f>'ME1'!O23+'ME2'!O23</f>
        <v>9000</v>
      </c>
      <c r="F58" s="11">
        <f>'ME1'!P23+'ME2'!P23</f>
        <v>867.82</v>
      </c>
      <c r="G58" s="11">
        <f>'ME1'!R23+'ME2'!R23</f>
        <v>0</v>
      </c>
      <c r="H58" s="42">
        <f t="shared" si="0"/>
        <v>867.82</v>
      </c>
      <c r="I58" s="42">
        <f t="shared" si="1"/>
        <v>8132.18</v>
      </c>
      <c r="J58" s="42">
        <f>'ME1'!V23+'ME2'!V23</f>
        <v>867.82</v>
      </c>
      <c r="K58" s="42">
        <f t="shared" si="2"/>
        <v>7264.3600000000006</v>
      </c>
      <c r="L58" s="4" t="s">
        <v>67</v>
      </c>
      <c r="M58" s="4" t="s">
        <v>11</v>
      </c>
      <c r="O58" s="200"/>
      <c r="Q58" s="200"/>
    </row>
    <row r="59" spans="1:17" ht="13.5" customHeight="1" x14ac:dyDescent="0.25">
      <c r="A59" s="33">
        <v>50</v>
      </c>
      <c r="B59" s="28" t="s">
        <v>180</v>
      </c>
      <c r="C59" s="10" t="s">
        <v>86</v>
      </c>
      <c r="D59" s="4" t="s">
        <v>304</v>
      </c>
      <c r="E59" s="11">
        <f>'ME1'!O24+'ME2'!O24</f>
        <v>9826.5999999999985</v>
      </c>
      <c r="F59" s="11">
        <f>'ME1'!P24+'ME2'!P24</f>
        <v>1024.07</v>
      </c>
      <c r="G59" s="11">
        <f>'ME1'!R24+'ME2'!R24</f>
        <v>0</v>
      </c>
      <c r="H59" s="42">
        <f t="shared" si="0"/>
        <v>1024.07</v>
      </c>
      <c r="I59" s="42">
        <f t="shared" si="1"/>
        <v>8802.5299999999988</v>
      </c>
      <c r="J59" s="42">
        <f>'ME1'!V24+'ME2'!V24</f>
        <v>1540.17</v>
      </c>
      <c r="K59" s="42">
        <f t="shared" si="2"/>
        <v>7262.3599999999988</v>
      </c>
      <c r="L59" s="4" t="s">
        <v>58</v>
      </c>
      <c r="M59" s="4" t="s">
        <v>309</v>
      </c>
      <c r="O59" s="200"/>
      <c r="Q59" s="200"/>
    </row>
    <row r="60" spans="1:17" ht="13.5" customHeight="1" x14ac:dyDescent="0.25">
      <c r="A60" s="33">
        <v>51</v>
      </c>
      <c r="B60" s="28" t="s">
        <v>207</v>
      </c>
      <c r="C60" s="11" t="s">
        <v>87</v>
      </c>
      <c r="D60" s="4" t="s">
        <v>17</v>
      </c>
      <c r="E60" s="11">
        <f>'ME1'!O25+'ME2'!O25</f>
        <v>3908</v>
      </c>
      <c r="F60" s="11">
        <f>'ME1'!P25+'ME2'!P25</f>
        <v>234.19</v>
      </c>
      <c r="G60" s="11">
        <f>'ME1'!R25+'ME2'!R25</f>
        <v>0</v>
      </c>
      <c r="H60" s="42">
        <f t="shared" si="0"/>
        <v>234.19</v>
      </c>
      <c r="I60" s="42">
        <f t="shared" si="1"/>
        <v>3673.81</v>
      </c>
      <c r="J60" s="42">
        <f>'ME1'!V25+'ME2'!V25</f>
        <v>234.19</v>
      </c>
      <c r="K60" s="42">
        <f t="shared" si="2"/>
        <v>3439.62</v>
      </c>
      <c r="L60" s="4" t="s">
        <v>85</v>
      </c>
      <c r="M60" s="4" t="s">
        <v>14</v>
      </c>
      <c r="O60" s="200"/>
      <c r="Q60" s="200"/>
    </row>
    <row r="61" spans="1:17" ht="13.5" customHeight="1" x14ac:dyDescent="0.25">
      <c r="A61" s="33">
        <v>52</v>
      </c>
      <c r="B61" s="28" t="s">
        <v>236</v>
      </c>
      <c r="C61" s="11" t="s">
        <v>232</v>
      </c>
      <c r="D61" s="4" t="s">
        <v>17</v>
      </c>
      <c r="E61" s="11">
        <f>'ME1'!O26+'ME2'!O26</f>
        <v>4058</v>
      </c>
      <c r="F61" s="11">
        <f>'ME1'!P26+'ME2'!P26</f>
        <v>243.26</v>
      </c>
      <c r="G61" s="11">
        <f>'ME1'!R26+'ME2'!R26</f>
        <v>0</v>
      </c>
      <c r="H61" s="42">
        <f t="shared" si="0"/>
        <v>243.26</v>
      </c>
      <c r="I61" s="42">
        <f t="shared" si="1"/>
        <v>3814.74</v>
      </c>
      <c r="J61" s="42">
        <f>'ME1'!V26+'ME2'!V26</f>
        <v>243.26</v>
      </c>
      <c r="K61" s="42">
        <f t="shared" si="2"/>
        <v>3571.4799999999996</v>
      </c>
      <c r="L61" s="4" t="s">
        <v>58</v>
      </c>
      <c r="M61" s="4" t="s">
        <v>14</v>
      </c>
      <c r="O61" s="200"/>
      <c r="Q61" s="200"/>
    </row>
    <row r="62" spans="1:17" ht="13.5" customHeight="1" x14ac:dyDescent="0.25">
      <c r="A62" s="33">
        <v>53</v>
      </c>
      <c r="B62" s="28" t="s">
        <v>212</v>
      </c>
      <c r="C62" s="6" t="s">
        <v>241</v>
      </c>
      <c r="D62" s="4" t="s">
        <v>17</v>
      </c>
      <c r="E62" s="11">
        <f>'ME1'!O27+'ME2'!O27</f>
        <v>5289.7999999999993</v>
      </c>
      <c r="F62" s="11">
        <f>'ME1'!P27+'ME2'!P27</f>
        <v>367.36</v>
      </c>
      <c r="G62" s="11">
        <f>'ME1'!R27+'ME2'!R27</f>
        <v>0</v>
      </c>
      <c r="H62" s="42">
        <f t="shared" si="0"/>
        <v>367.36</v>
      </c>
      <c r="I62" s="42">
        <f t="shared" si="1"/>
        <v>4922.4399999999996</v>
      </c>
      <c r="J62" s="42">
        <f>'ME1'!V27+'ME2'!V27</f>
        <v>367.36</v>
      </c>
      <c r="K62" s="42">
        <f t="shared" si="2"/>
        <v>4555.08</v>
      </c>
      <c r="L62" s="4" t="s">
        <v>58</v>
      </c>
      <c r="M62" s="4" t="s">
        <v>14</v>
      </c>
      <c r="O62" s="200"/>
      <c r="Q62" s="200"/>
    </row>
    <row r="63" spans="1:17" ht="13.5" customHeight="1" x14ac:dyDescent="0.25">
      <c r="A63" s="33">
        <v>54</v>
      </c>
      <c r="B63" s="28" t="s">
        <v>213</v>
      </c>
      <c r="C63" s="6" t="s">
        <v>88</v>
      </c>
      <c r="D63" s="4" t="s">
        <v>17</v>
      </c>
      <c r="E63" s="11">
        <f>'ME1'!O28+'ME2'!O28</f>
        <v>6063.0999999999995</v>
      </c>
      <c r="F63" s="11">
        <f>'ME1'!P28+'ME2'!P28</f>
        <v>451.5</v>
      </c>
      <c r="G63" s="11">
        <f>'ME1'!R28+'ME2'!R28</f>
        <v>0</v>
      </c>
      <c r="H63" s="42">
        <f t="shared" si="0"/>
        <v>451.5</v>
      </c>
      <c r="I63" s="42">
        <f t="shared" si="1"/>
        <v>5611.5999999999995</v>
      </c>
      <c r="J63" s="42">
        <f>'ME1'!V28+'ME2'!V28</f>
        <v>451.5</v>
      </c>
      <c r="K63" s="42">
        <f t="shared" si="2"/>
        <v>5160.0999999999995</v>
      </c>
      <c r="L63" s="4" t="s">
        <v>58</v>
      </c>
      <c r="M63" s="4" t="s">
        <v>14</v>
      </c>
      <c r="O63" s="200"/>
      <c r="Q63" s="200"/>
    </row>
    <row r="64" spans="1:17" ht="13.5" customHeight="1" x14ac:dyDescent="0.25">
      <c r="A64" s="33">
        <v>55</v>
      </c>
      <c r="B64" s="28" t="s">
        <v>214</v>
      </c>
      <c r="C64" s="6" t="s">
        <v>89</v>
      </c>
      <c r="D64" s="4" t="s">
        <v>17</v>
      </c>
      <c r="E64" s="11">
        <f>'ME1'!O29+'ME2'!O29</f>
        <v>6930</v>
      </c>
      <c r="F64" s="11">
        <f>'ME1'!P29+'ME2'!P29</f>
        <v>555.91</v>
      </c>
      <c r="G64" s="11">
        <f>'ME1'!R29+'ME2'!R29</f>
        <v>0</v>
      </c>
      <c r="H64" s="42">
        <f t="shared" si="0"/>
        <v>555.91</v>
      </c>
      <c r="I64" s="42">
        <f t="shared" si="1"/>
        <v>6374.09</v>
      </c>
      <c r="J64" s="42">
        <f>'ME1'!V29+'ME2'!V29</f>
        <v>555.91</v>
      </c>
      <c r="K64" s="42">
        <f t="shared" si="2"/>
        <v>5818.18</v>
      </c>
      <c r="L64" s="4" t="s">
        <v>58</v>
      </c>
      <c r="M64" s="4" t="s">
        <v>14</v>
      </c>
      <c r="O64" s="200"/>
      <c r="Q64" s="200"/>
    </row>
    <row r="65" spans="1:17" ht="13.5" customHeight="1" x14ac:dyDescent="0.25">
      <c r="A65" s="33">
        <v>56</v>
      </c>
      <c r="B65" s="28" t="s">
        <v>209</v>
      </c>
      <c r="C65" s="6" t="s">
        <v>90</v>
      </c>
      <c r="D65" s="4" t="s">
        <v>17</v>
      </c>
      <c r="E65" s="11">
        <f>'ME1'!O30+'ME2'!O30</f>
        <v>7670</v>
      </c>
      <c r="F65" s="11">
        <f>'ME1'!P30+'ME2'!P30</f>
        <v>675.42</v>
      </c>
      <c r="G65" s="11">
        <f>'ME1'!R30+'ME2'!R30</f>
        <v>0</v>
      </c>
      <c r="H65" s="42">
        <f t="shared" si="0"/>
        <v>675.42</v>
      </c>
      <c r="I65" s="42">
        <f t="shared" si="1"/>
        <v>6994.58</v>
      </c>
      <c r="J65" s="42">
        <f>'ME1'!V30+'ME2'!V30</f>
        <v>675.42</v>
      </c>
      <c r="K65" s="42">
        <f t="shared" si="2"/>
        <v>6319.16</v>
      </c>
      <c r="L65" s="4" t="s">
        <v>58</v>
      </c>
      <c r="M65" s="4" t="s">
        <v>14</v>
      </c>
      <c r="O65" s="200"/>
      <c r="Q65" s="200"/>
    </row>
    <row r="66" spans="1:17" ht="13.5" customHeight="1" x14ac:dyDescent="0.25">
      <c r="A66" s="33">
        <v>57</v>
      </c>
      <c r="B66" s="28" t="s">
        <v>210</v>
      </c>
      <c r="C66" s="6" t="s">
        <v>91</v>
      </c>
      <c r="D66" s="4" t="s">
        <v>14</v>
      </c>
      <c r="E66" s="11">
        <f>'ME1'!O31+'ME2'!O31</f>
        <v>5628</v>
      </c>
      <c r="F66" s="11">
        <f>'ME1'!P31+'ME2'!P31</f>
        <v>404.16</v>
      </c>
      <c r="G66" s="11">
        <f>'ME1'!R31+'ME2'!R31</f>
        <v>0</v>
      </c>
      <c r="H66" s="42">
        <f t="shared" si="0"/>
        <v>404.16</v>
      </c>
      <c r="I66" s="42">
        <f t="shared" si="1"/>
        <v>5223.84</v>
      </c>
      <c r="J66" s="42">
        <f>'ME1'!V31+'ME2'!V31</f>
        <v>904.16</v>
      </c>
      <c r="K66" s="42">
        <f t="shared" si="2"/>
        <v>4319.68</v>
      </c>
      <c r="L66" s="4" t="s">
        <v>58</v>
      </c>
      <c r="M66" s="4" t="s">
        <v>14</v>
      </c>
      <c r="O66" s="200"/>
      <c r="Q66" s="200"/>
    </row>
    <row r="67" spans="1:17" ht="13.5" customHeight="1" x14ac:dyDescent="0.25">
      <c r="A67" s="33">
        <v>58</v>
      </c>
      <c r="B67" s="28" t="s">
        <v>217</v>
      </c>
      <c r="C67" s="10" t="s">
        <v>92</v>
      </c>
      <c r="D67" s="4" t="s">
        <v>17</v>
      </c>
      <c r="E67" s="11">
        <f>'ME1'!O32+'ME2'!O32</f>
        <v>6170</v>
      </c>
      <c r="F67" s="11">
        <f>'ME1'!P32+'ME2'!P32</f>
        <v>468.81</v>
      </c>
      <c r="G67" s="11">
        <f>'ME1'!R32+'ME2'!R32</f>
        <v>0</v>
      </c>
      <c r="H67" s="42">
        <f t="shared" si="0"/>
        <v>468.81</v>
      </c>
      <c r="I67" s="42">
        <f t="shared" si="1"/>
        <v>5701.19</v>
      </c>
      <c r="J67" s="42">
        <f>'ME1'!V32+'ME2'!V32</f>
        <v>468.81</v>
      </c>
      <c r="K67" s="42">
        <f t="shared" si="2"/>
        <v>5232.3799999999992</v>
      </c>
      <c r="L67" s="4" t="s">
        <v>58</v>
      </c>
      <c r="M67" s="4" t="s">
        <v>14</v>
      </c>
      <c r="O67" s="200"/>
      <c r="Q67" s="200"/>
    </row>
    <row r="68" spans="1:17" ht="13.5" customHeight="1" x14ac:dyDescent="0.25">
      <c r="A68" s="33">
        <v>59</v>
      </c>
      <c r="B68" s="28" t="s">
        <v>216</v>
      </c>
      <c r="C68" s="11" t="s">
        <v>93</v>
      </c>
      <c r="D68" s="4" t="s">
        <v>310</v>
      </c>
      <c r="E68" s="11">
        <f>'ME1'!O33+'ME2'!O33</f>
        <v>6300</v>
      </c>
      <c r="F68" s="11">
        <f>'ME1'!P33+'ME2'!P33</f>
        <v>477.28</v>
      </c>
      <c r="G68" s="11">
        <f>'ME1'!R33+'ME2'!R33</f>
        <v>0</v>
      </c>
      <c r="H68" s="42">
        <f t="shared" si="0"/>
        <v>477.28</v>
      </c>
      <c r="I68" s="42">
        <f t="shared" si="1"/>
        <v>5822.72</v>
      </c>
      <c r="J68" s="42">
        <f>'ME1'!V33+'ME2'!V33</f>
        <v>977.28</v>
      </c>
      <c r="K68" s="42">
        <f t="shared" si="2"/>
        <v>4845.4400000000005</v>
      </c>
      <c r="L68" s="4" t="s">
        <v>58</v>
      </c>
      <c r="M68" s="4" t="s">
        <v>309</v>
      </c>
      <c r="O68" s="200"/>
      <c r="Q68" s="200"/>
    </row>
    <row r="69" spans="1:17" ht="13.5" customHeight="1" x14ac:dyDescent="0.25">
      <c r="A69" s="33">
        <v>60</v>
      </c>
      <c r="B69" s="28" t="s">
        <v>218</v>
      </c>
      <c r="C69" s="12" t="s">
        <v>133</v>
      </c>
      <c r="D69" s="4" t="s">
        <v>17</v>
      </c>
      <c r="E69" s="11">
        <f>'ME1'!O34+'ME2'!O34</f>
        <v>5166</v>
      </c>
      <c r="F69" s="11">
        <f>'ME1'!P34+'ME2'!P34</f>
        <v>353.89</v>
      </c>
      <c r="G69" s="11">
        <f>'ME1'!R34+'ME2'!R34</f>
        <v>0</v>
      </c>
      <c r="H69" s="42">
        <f t="shared" si="0"/>
        <v>353.89</v>
      </c>
      <c r="I69" s="42">
        <f t="shared" si="1"/>
        <v>4812.1099999999997</v>
      </c>
      <c r="J69" s="42">
        <f>'ME1'!V34+'ME2'!V34</f>
        <v>353.89</v>
      </c>
      <c r="K69" s="42">
        <f t="shared" si="2"/>
        <v>4458.2199999999993</v>
      </c>
      <c r="L69" s="4" t="s">
        <v>58</v>
      </c>
      <c r="M69" s="4" t="s">
        <v>14</v>
      </c>
      <c r="O69" s="200"/>
      <c r="Q69" s="200"/>
    </row>
    <row r="70" spans="1:17" ht="13.5" customHeight="1" x14ac:dyDescent="0.25">
      <c r="A70" s="33">
        <v>61</v>
      </c>
      <c r="B70" s="28" t="s">
        <v>219</v>
      </c>
      <c r="C70" s="12" t="s">
        <v>134</v>
      </c>
      <c r="D70" s="4" t="s">
        <v>17</v>
      </c>
      <c r="E70" s="11">
        <f>'ME1'!O35+'ME2'!O35</f>
        <v>4820</v>
      </c>
      <c r="F70" s="11">
        <f>'ME1'!P35+'ME2'!P35</f>
        <v>316.24</v>
      </c>
      <c r="G70" s="11">
        <f>'ME1'!R35+'ME2'!R35</f>
        <v>0</v>
      </c>
      <c r="H70" s="42">
        <f t="shared" si="0"/>
        <v>316.24</v>
      </c>
      <c r="I70" s="42">
        <f t="shared" si="1"/>
        <v>4503.76</v>
      </c>
      <c r="J70" s="42">
        <f>'ME1'!V35+'ME2'!V35</f>
        <v>1316.24</v>
      </c>
      <c r="K70" s="42">
        <f t="shared" si="2"/>
        <v>3187.5200000000004</v>
      </c>
      <c r="L70" s="4" t="s">
        <v>58</v>
      </c>
      <c r="M70" s="4" t="s">
        <v>14</v>
      </c>
      <c r="O70" s="200"/>
      <c r="Q70" s="200"/>
    </row>
    <row r="71" spans="1:17" ht="13.5" customHeight="1" x14ac:dyDescent="0.25">
      <c r="A71" s="33">
        <v>62</v>
      </c>
      <c r="B71" s="28" t="s">
        <v>220</v>
      </c>
      <c r="C71" s="13" t="s">
        <v>233</v>
      </c>
      <c r="D71" s="4" t="s">
        <v>17</v>
      </c>
      <c r="E71" s="11">
        <f>'ME1'!O36+'ME2'!O36</f>
        <v>4994</v>
      </c>
      <c r="F71" s="11">
        <f>'ME1'!P36+'ME2'!P36</f>
        <v>335.18</v>
      </c>
      <c r="G71" s="11">
        <f>'ME1'!R36+'ME2'!R36</f>
        <v>0</v>
      </c>
      <c r="H71" s="42">
        <f t="shared" si="0"/>
        <v>335.18</v>
      </c>
      <c r="I71" s="42">
        <f t="shared" si="1"/>
        <v>4658.82</v>
      </c>
      <c r="J71" s="42">
        <f>'ME1'!V36+'ME2'!V36</f>
        <v>835.18</v>
      </c>
      <c r="K71" s="42">
        <f t="shared" si="2"/>
        <v>3823.64</v>
      </c>
      <c r="L71" s="4" t="s">
        <v>58</v>
      </c>
      <c r="M71" s="4" t="s">
        <v>14</v>
      </c>
      <c r="O71" s="200"/>
      <c r="Q71" s="200"/>
    </row>
    <row r="72" spans="1:17" ht="13.5" customHeight="1" x14ac:dyDescent="0.25">
      <c r="A72" s="33">
        <v>63</v>
      </c>
      <c r="B72" s="28" t="s">
        <v>186</v>
      </c>
      <c r="C72" s="13" t="s">
        <v>96</v>
      </c>
      <c r="D72" s="4" t="s">
        <v>95</v>
      </c>
      <c r="E72" s="11">
        <f>'ME1'!O37+'ME2'!O37</f>
        <v>6488.5719999999992</v>
      </c>
      <c r="F72" s="11">
        <f>'ME1'!P37+'ME2'!P37</f>
        <v>497.8</v>
      </c>
      <c r="G72" s="11">
        <f>'ME1'!R37+'ME2'!R37</f>
        <v>100</v>
      </c>
      <c r="H72" s="42">
        <f t="shared" si="0"/>
        <v>597.79999999999995</v>
      </c>
      <c r="I72" s="42">
        <f t="shared" si="1"/>
        <v>5890.771999999999</v>
      </c>
      <c r="J72" s="42">
        <f>'ME1'!V37+'ME2'!V37</f>
        <v>597.79999999999995</v>
      </c>
      <c r="K72" s="42">
        <f t="shared" si="2"/>
        <v>5292.9719999999988</v>
      </c>
      <c r="L72" s="4" t="s">
        <v>58</v>
      </c>
      <c r="M72" s="4" t="s">
        <v>94</v>
      </c>
      <c r="O72" s="200"/>
      <c r="Q72" s="200"/>
    </row>
    <row r="73" spans="1:17" ht="13.5" customHeight="1" x14ac:dyDescent="0.25">
      <c r="A73" s="33">
        <v>64</v>
      </c>
      <c r="B73" s="26" t="s">
        <v>197</v>
      </c>
      <c r="C73" s="10" t="s">
        <v>98</v>
      </c>
      <c r="D73" s="4" t="s">
        <v>97</v>
      </c>
      <c r="E73" s="11">
        <f>'ME1'!O38+'ME2'!O38</f>
        <v>33280.199999999997</v>
      </c>
      <c r="F73" s="11">
        <f>'ME1'!P38+'ME2'!P38</f>
        <v>6353.42</v>
      </c>
      <c r="G73" s="11">
        <f>'ME1'!R38+'ME2'!R38</f>
        <v>0</v>
      </c>
      <c r="H73" s="42">
        <f t="shared" si="0"/>
        <v>6353.42</v>
      </c>
      <c r="I73" s="42">
        <f t="shared" si="1"/>
        <v>26926.78</v>
      </c>
      <c r="J73" s="42">
        <f>'ME1'!V38+'ME2'!V38</f>
        <v>6353.42</v>
      </c>
      <c r="K73" s="42">
        <f t="shared" si="2"/>
        <v>20573.36</v>
      </c>
      <c r="L73" s="4" t="s">
        <v>67</v>
      </c>
      <c r="M73" s="4" t="s">
        <v>94</v>
      </c>
      <c r="O73" s="200"/>
      <c r="Q73" s="200"/>
    </row>
    <row r="74" spans="1:17" ht="13.5" customHeight="1" x14ac:dyDescent="0.25">
      <c r="A74" s="33">
        <v>65</v>
      </c>
      <c r="B74" s="28" t="s">
        <v>203</v>
      </c>
      <c r="C74" s="11" t="s">
        <v>100</v>
      </c>
      <c r="D74" s="4" t="s">
        <v>99</v>
      </c>
      <c r="E74" s="11">
        <f>'ME1'!O39+'ME2'!O39</f>
        <v>6056</v>
      </c>
      <c r="F74" s="11">
        <f>'ME1'!P39+'ME2'!P39</f>
        <v>450.73</v>
      </c>
      <c r="G74" s="11">
        <f>'ME1'!R39+'ME2'!R39</f>
        <v>0</v>
      </c>
      <c r="H74" s="42">
        <f t="shared" si="0"/>
        <v>450.73</v>
      </c>
      <c r="I74" s="42">
        <f t="shared" si="1"/>
        <v>5605.27</v>
      </c>
      <c r="J74" s="42">
        <f>'ME1'!V39+'ME2'!V39</f>
        <v>450.73</v>
      </c>
      <c r="K74" s="42">
        <f t="shared" si="2"/>
        <v>5154.5400000000009</v>
      </c>
      <c r="L74" s="4" t="s">
        <v>58</v>
      </c>
      <c r="M74" s="4" t="s">
        <v>23</v>
      </c>
      <c r="O74" s="200"/>
      <c r="Q74" s="200"/>
    </row>
    <row r="75" spans="1:17" ht="13.5" customHeight="1" x14ac:dyDescent="0.25">
      <c r="A75" s="33">
        <v>66</v>
      </c>
      <c r="B75" s="28" t="s">
        <v>211</v>
      </c>
      <c r="C75" s="14" t="s">
        <v>101</v>
      </c>
      <c r="D75" s="4" t="s">
        <v>17</v>
      </c>
      <c r="E75" s="11">
        <f>'ME1'!O40+'ME2'!O40</f>
        <v>6880</v>
      </c>
      <c r="F75" s="11">
        <f>'ME1'!P40+'ME2'!P40</f>
        <v>544.01</v>
      </c>
      <c r="G75" s="11">
        <f>'ME1'!R40+'ME2'!R40</f>
        <v>0</v>
      </c>
      <c r="H75" s="42">
        <f t="shared" ref="H75:H102" si="3">F75+G75</f>
        <v>544.01</v>
      </c>
      <c r="I75" s="42">
        <f t="shared" ref="I75:I102" si="4">E75-H75</f>
        <v>6335.99</v>
      </c>
      <c r="J75" s="42">
        <f>'ME1'!V40+'ME2'!V40</f>
        <v>544.01</v>
      </c>
      <c r="K75" s="42">
        <f t="shared" ref="K75:K102" si="5">I75-J75</f>
        <v>5791.98</v>
      </c>
      <c r="L75" s="4" t="s">
        <v>58</v>
      </c>
      <c r="M75" s="4" t="s">
        <v>23</v>
      </c>
      <c r="O75" s="200"/>
      <c r="Q75" s="200"/>
    </row>
    <row r="76" spans="1:17" ht="13.5" customHeight="1" x14ac:dyDescent="0.25">
      <c r="A76" s="33">
        <v>67</v>
      </c>
      <c r="B76" s="28" t="s">
        <v>215</v>
      </c>
      <c r="C76" s="6" t="s">
        <v>103</v>
      </c>
      <c r="D76" s="4" t="s">
        <v>102</v>
      </c>
      <c r="E76" s="11">
        <f>'ME1'!O41+'ME2'!O41</f>
        <v>16411.8</v>
      </c>
      <c r="F76" s="11">
        <f>'ME1'!P41+'ME2'!P41</f>
        <v>2411.1799999999998</v>
      </c>
      <c r="G76" s="11">
        <f>'ME1'!R41+'ME2'!R41</f>
        <v>0</v>
      </c>
      <c r="H76" s="42">
        <f t="shared" si="3"/>
        <v>2411.1799999999998</v>
      </c>
      <c r="I76" s="42">
        <f t="shared" si="4"/>
        <v>14000.619999999999</v>
      </c>
      <c r="J76" s="42">
        <f>'ME1'!V41+'ME2'!V41</f>
        <v>2411.1799999999998</v>
      </c>
      <c r="K76" s="42">
        <f t="shared" si="5"/>
        <v>11589.439999999999</v>
      </c>
      <c r="L76" s="4" t="s">
        <v>58</v>
      </c>
      <c r="M76" s="4" t="s">
        <v>23</v>
      </c>
      <c r="O76" s="200"/>
      <c r="Q76" s="200"/>
    </row>
    <row r="77" spans="1:17" ht="13.5" customHeight="1" x14ac:dyDescent="0.25">
      <c r="A77" s="33">
        <v>68</v>
      </c>
      <c r="B77" s="28" t="s">
        <v>178</v>
      </c>
      <c r="C77" s="11" t="s">
        <v>104</v>
      </c>
      <c r="D77" s="4" t="s">
        <v>25</v>
      </c>
      <c r="E77" s="11">
        <f>'ME1'!O42+'ME2'!O42</f>
        <v>3424</v>
      </c>
      <c r="F77" s="11">
        <f>'ME1'!P42+'ME2'!P42</f>
        <v>197.1</v>
      </c>
      <c r="G77" s="11">
        <f>'ME1'!R42+'ME2'!R42</f>
        <v>0</v>
      </c>
      <c r="H77" s="42">
        <f t="shared" si="3"/>
        <v>197.1</v>
      </c>
      <c r="I77" s="42">
        <f t="shared" si="4"/>
        <v>3226.9</v>
      </c>
      <c r="J77" s="42">
        <f>'ME1'!V42+'ME2'!V42</f>
        <v>197.1</v>
      </c>
      <c r="K77" s="42">
        <f t="shared" si="5"/>
        <v>3029.8</v>
      </c>
      <c r="L77" s="4" t="s">
        <v>58</v>
      </c>
      <c r="M77" s="4" t="s">
        <v>24</v>
      </c>
      <c r="O77" s="200"/>
      <c r="Q77" s="200"/>
    </row>
    <row r="78" spans="1:17" ht="13.5" customHeight="1" x14ac:dyDescent="0.25">
      <c r="A78" s="33">
        <v>69</v>
      </c>
      <c r="B78" s="28" t="s">
        <v>179</v>
      </c>
      <c r="C78" s="10" t="s">
        <v>105</v>
      </c>
      <c r="D78" s="4" t="s">
        <v>45</v>
      </c>
      <c r="E78" s="11">
        <f>'ME1'!O43+'ME2'!O43</f>
        <v>9962.5</v>
      </c>
      <c r="F78" s="11">
        <f>'ME1'!P43+'ME2'!P43</f>
        <v>1046.2</v>
      </c>
      <c r="G78" s="11">
        <f>'ME1'!R43+'ME2'!R43</f>
        <v>0</v>
      </c>
      <c r="H78" s="42">
        <f t="shared" si="3"/>
        <v>1046.2</v>
      </c>
      <c r="I78" s="42">
        <f t="shared" si="4"/>
        <v>8916.2999999999993</v>
      </c>
      <c r="J78" s="42">
        <f>'ME1'!V43+'ME2'!V43</f>
        <v>4046.2</v>
      </c>
      <c r="K78" s="42">
        <f t="shared" si="5"/>
        <v>4870.0999999999995</v>
      </c>
      <c r="L78" s="4" t="s">
        <v>58</v>
      </c>
      <c r="M78" s="4" t="s">
        <v>24</v>
      </c>
      <c r="O78" s="200"/>
      <c r="Q78" s="200"/>
    </row>
    <row r="79" spans="1:17" ht="13.5" customHeight="1" x14ac:dyDescent="0.25">
      <c r="A79" s="33">
        <v>70</v>
      </c>
      <c r="B79" s="28" t="s">
        <v>187</v>
      </c>
      <c r="C79" s="10" t="s">
        <v>106</v>
      </c>
      <c r="D79" s="4" t="s">
        <v>25</v>
      </c>
      <c r="E79" s="11">
        <f>'ME1'!O44+'ME2'!O44</f>
        <v>3300.527</v>
      </c>
      <c r="F79" s="11">
        <f>'ME1'!P44+'ME2'!P44</f>
        <v>189.2</v>
      </c>
      <c r="G79" s="11">
        <f>'ME1'!R44+'ME2'!R44</f>
        <v>0</v>
      </c>
      <c r="H79" s="42">
        <f t="shared" si="3"/>
        <v>189.2</v>
      </c>
      <c r="I79" s="42">
        <f t="shared" si="4"/>
        <v>3111.3270000000002</v>
      </c>
      <c r="J79" s="42">
        <f>'ME1'!V44+'ME2'!V44</f>
        <v>189.2</v>
      </c>
      <c r="K79" s="42">
        <f t="shared" si="5"/>
        <v>2922.1270000000004</v>
      </c>
      <c r="L79" s="4" t="s">
        <v>58</v>
      </c>
      <c r="M79" s="4" t="s">
        <v>24</v>
      </c>
      <c r="O79" s="200"/>
      <c r="Q79" s="200"/>
    </row>
    <row r="80" spans="1:17" ht="13.5" customHeight="1" x14ac:dyDescent="0.25">
      <c r="A80" s="33">
        <v>71</v>
      </c>
      <c r="B80" s="28" t="s">
        <v>191</v>
      </c>
      <c r="C80" s="11" t="s">
        <v>107</v>
      </c>
      <c r="D80" s="4" t="s">
        <v>25</v>
      </c>
      <c r="E80" s="11">
        <f>'ME1'!O45+'ME2'!O45</f>
        <v>4440.4000000000005</v>
      </c>
      <c r="F80" s="11">
        <f>'ME1'!P45+'ME2'!P45</f>
        <v>274.94</v>
      </c>
      <c r="G80" s="11">
        <f>'ME1'!R45+'ME2'!R45</f>
        <v>0</v>
      </c>
      <c r="H80" s="42">
        <f t="shared" si="3"/>
        <v>274.94</v>
      </c>
      <c r="I80" s="42">
        <f t="shared" si="4"/>
        <v>4165.4600000000009</v>
      </c>
      <c r="J80" s="42">
        <f>'ME1'!V45+'ME2'!V45</f>
        <v>274.94</v>
      </c>
      <c r="K80" s="42">
        <f t="shared" si="5"/>
        <v>3890.5200000000009</v>
      </c>
      <c r="L80" s="4" t="s">
        <v>58</v>
      </c>
      <c r="M80" s="4" t="s">
        <v>24</v>
      </c>
      <c r="O80" s="200"/>
      <c r="Q80" s="200"/>
    </row>
    <row r="81" spans="1:17" ht="13.5" customHeight="1" x14ac:dyDescent="0.25">
      <c r="A81" s="33">
        <v>72</v>
      </c>
      <c r="B81" s="28" t="s">
        <v>192</v>
      </c>
      <c r="C81" s="11" t="s">
        <v>108</v>
      </c>
      <c r="D81" s="4" t="s">
        <v>25</v>
      </c>
      <c r="E81" s="11">
        <f>'ME1'!O46+'ME2'!O46</f>
        <v>4440.4000000000005</v>
      </c>
      <c r="F81" s="11">
        <f>'ME1'!P46+'ME2'!P46</f>
        <v>274.94</v>
      </c>
      <c r="G81" s="11">
        <f>'ME1'!R46+'ME2'!R46</f>
        <v>0</v>
      </c>
      <c r="H81" s="42">
        <f t="shared" si="3"/>
        <v>274.94</v>
      </c>
      <c r="I81" s="42">
        <f t="shared" si="4"/>
        <v>4165.4600000000009</v>
      </c>
      <c r="J81" s="42">
        <f>'ME1'!V46+'ME2'!V46</f>
        <v>274.94</v>
      </c>
      <c r="K81" s="42">
        <f t="shared" si="5"/>
        <v>3890.5200000000009</v>
      </c>
      <c r="L81" s="4" t="s">
        <v>58</v>
      </c>
      <c r="M81" s="4" t="s">
        <v>24</v>
      </c>
      <c r="O81" s="200"/>
      <c r="Q81" s="200"/>
    </row>
    <row r="82" spans="1:17" ht="13.5" customHeight="1" x14ac:dyDescent="0.25">
      <c r="A82" s="33">
        <v>73</v>
      </c>
      <c r="B82" s="28" t="s">
        <v>193</v>
      </c>
      <c r="C82" s="10" t="s">
        <v>109</v>
      </c>
      <c r="D82" s="4" t="s">
        <v>45</v>
      </c>
      <c r="E82" s="11">
        <f>'ME1'!O47+'ME2'!O47</f>
        <v>9850</v>
      </c>
      <c r="F82" s="11">
        <f>'ME1'!P47+'ME2'!P47</f>
        <v>1020.14</v>
      </c>
      <c r="G82" s="11">
        <f>'ME1'!R47+'ME2'!R47</f>
        <v>0</v>
      </c>
      <c r="H82" s="42">
        <f t="shared" si="3"/>
        <v>1020.14</v>
      </c>
      <c r="I82" s="42">
        <f t="shared" si="4"/>
        <v>8829.86</v>
      </c>
      <c r="J82" s="42">
        <f>'ME1'!V47+'ME2'!V47</f>
        <v>1020.14</v>
      </c>
      <c r="K82" s="42">
        <f t="shared" si="5"/>
        <v>7809.72</v>
      </c>
      <c r="L82" s="4" t="s">
        <v>58</v>
      </c>
      <c r="M82" s="4" t="s">
        <v>24</v>
      </c>
      <c r="O82" s="200"/>
      <c r="Q82" s="200"/>
    </row>
    <row r="83" spans="1:17" ht="13.5" customHeight="1" x14ac:dyDescent="0.25">
      <c r="A83" s="33">
        <v>74</v>
      </c>
      <c r="B83" s="28" t="s">
        <v>196</v>
      </c>
      <c r="C83" s="11" t="s">
        <v>111</v>
      </c>
      <c r="D83" s="4" t="s">
        <v>110</v>
      </c>
      <c r="E83" s="11">
        <f>'ME1'!O48+'ME2'!O48</f>
        <v>7396.8400000000011</v>
      </c>
      <c r="F83" s="11">
        <f>'ME1'!P48+'ME2'!P48</f>
        <v>606.04999999999995</v>
      </c>
      <c r="G83" s="11">
        <f>'ME1'!R48+'ME2'!R48</f>
        <v>97.52</v>
      </c>
      <c r="H83" s="42">
        <f t="shared" si="3"/>
        <v>703.56999999999994</v>
      </c>
      <c r="I83" s="42">
        <f t="shared" si="4"/>
        <v>6693.2700000000013</v>
      </c>
      <c r="J83" s="42">
        <f>'ME1'!V48+'ME2'!V48</f>
        <v>1203.5700000000002</v>
      </c>
      <c r="K83" s="42">
        <f t="shared" si="5"/>
        <v>5489.7000000000007</v>
      </c>
      <c r="L83" s="4" t="s">
        <v>58</v>
      </c>
      <c r="M83" s="4" t="s">
        <v>24</v>
      </c>
      <c r="O83" s="200"/>
      <c r="Q83" s="200"/>
    </row>
    <row r="84" spans="1:17" ht="13.5" customHeight="1" x14ac:dyDescent="0.25">
      <c r="A84" s="33">
        <v>75</v>
      </c>
      <c r="B84" s="26" t="s">
        <v>200</v>
      </c>
      <c r="C84" s="11" t="s">
        <v>113</v>
      </c>
      <c r="D84" s="4" t="s">
        <v>112</v>
      </c>
      <c r="E84" s="11">
        <f>'ME1'!O49+'ME2'!O49</f>
        <v>9813.5800000000017</v>
      </c>
      <c r="F84" s="11">
        <f>'ME1'!P49+'ME2'!P49</f>
        <v>1022.15</v>
      </c>
      <c r="G84" s="11">
        <f>'ME1'!R49+'ME2'!R49</f>
        <v>0</v>
      </c>
      <c r="H84" s="42">
        <f t="shared" si="3"/>
        <v>1022.15</v>
      </c>
      <c r="I84" s="42">
        <f t="shared" si="4"/>
        <v>8791.4300000000021</v>
      </c>
      <c r="J84" s="42">
        <f>'ME1'!V49+'ME2'!V49</f>
        <v>1022.15</v>
      </c>
      <c r="K84" s="42">
        <f t="shared" si="5"/>
        <v>7769.2800000000025</v>
      </c>
      <c r="L84" s="4" t="s">
        <v>58</v>
      </c>
      <c r="M84" s="4" t="s">
        <v>24</v>
      </c>
      <c r="O84" s="200"/>
      <c r="Q84" s="200"/>
    </row>
    <row r="85" spans="1:17" ht="13.5" customHeight="1" x14ac:dyDescent="0.25">
      <c r="A85" s="33">
        <v>76</v>
      </c>
      <c r="B85" s="28" t="s">
        <v>201</v>
      </c>
      <c r="C85" s="11" t="s">
        <v>114</v>
      </c>
      <c r="D85" s="4" t="s">
        <v>50</v>
      </c>
      <c r="E85" s="11">
        <f>'ME1'!O50+'ME2'!O50</f>
        <v>3984.0000000000005</v>
      </c>
      <c r="F85" s="11">
        <f>'ME1'!P50+'ME2'!P50</f>
        <v>232.94</v>
      </c>
      <c r="G85" s="11">
        <f>'ME1'!R50+'ME2'!R50</f>
        <v>0</v>
      </c>
      <c r="H85" s="42">
        <f t="shared" si="3"/>
        <v>232.94</v>
      </c>
      <c r="I85" s="42">
        <f t="shared" si="4"/>
        <v>3751.0600000000004</v>
      </c>
      <c r="J85" s="42">
        <f>'ME1'!V50+'ME2'!V50</f>
        <v>232.94</v>
      </c>
      <c r="K85" s="42">
        <f t="shared" si="5"/>
        <v>3518.1200000000003</v>
      </c>
      <c r="L85" s="4" t="s">
        <v>58</v>
      </c>
      <c r="M85" s="4" t="s">
        <v>24</v>
      </c>
      <c r="O85" s="200"/>
      <c r="Q85" s="200"/>
    </row>
    <row r="86" spans="1:17" ht="13.5" customHeight="1" x14ac:dyDescent="0.25">
      <c r="A86" s="33">
        <v>77</v>
      </c>
      <c r="B86" s="28" t="s">
        <v>206</v>
      </c>
      <c r="C86" s="11" t="s">
        <v>116</v>
      </c>
      <c r="D86" s="4" t="s">
        <v>115</v>
      </c>
      <c r="E86" s="11">
        <f>'ME1'!O51+'ME2'!O51</f>
        <v>9600</v>
      </c>
      <c r="F86" s="11">
        <f>'ME1'!P51+'ME2'!P51</f>
        <v>975.33999999999992</v>
      </c>
      <c r="G86" s="11">
        <f>'ME1'!R51+'ME2'!R51</f>
        <v>0</v>
      </c>
      <c r="H86" s="42">
        <f t="shared" si="3"/>
        <v>975.33999999999992</v>
      </c>
      <c r="I86" s="42">
        <f t="shared" si="4"/>
        <v>8624.66</v>
      </c>
      <c r="J86" s="42">
        <f>'ME1'!V51+'ME2'!V51</f>
        <v>4289.0200000000004</v>
      </c>
      <c r="K86" s="42">
        <f t="shared" si="5"/>
        <v>4335.6399999999994</v>
      </c>
      <c r="L86" s="4" t="s">
        <v>58</v>
      </c>
      <c r="M86" s="4" t="s">
        <v>24</v>
      </c>
      <c r="O86" s="200"/>
      <c r="Q86" s="200"/>
    </row>
    <row r="87" spans="1:17" ht="13.5" customHeight="1" x14ac:dyDescent="0.25">
      <c r="A87" s="33">
        <v>78</v>
      </c>
      <c r="B87" s="28" t="s">
        <v>208</v>
      </c>
      <c r="C87" s="6" t="s">
        <v>117</v>
      </c>
      <c r="D87" s="4" t="s">
        <v>25</v>
      </c>
      <c r="E87" s="11">
        <f>'ME1'!O52+'ME2'!O52</f>
        <v>5300.3000000000011</v>
      </c>
      <c r="F87" s="11">
        <f>'ME1'!P52+'ME2'!P52</f>
        <v>422.90999999999997</v>
      </c>
      <c r="G87" s="11">
        <f>'ME1'!R52+'ME2'!R52</f>
        <v>0</v>
      </c>
      <c r="H87" s="42">
        <f t="shared" si="3"/>
        <v>422.90999999999997</v>
      </c>
      <c r="I87" s="42">
        <f t="shared" si="4"/>
        <v>4877.3900000000012</v>
      </c>
      <c r="J87" s="42">
        <f>'ME1'!V52+'ME2'!V52</f>
        <v>422.90999999999997</v>
      </c>
      <c r="K87" s="42">
        <f t="shared" si="5"/>
        <v>4454.4800000000014</v>
      </c>
      <c r="L87" s="4" t="s">
        <v>58</v>
      </c>
      <c r="M87" s="4" t="s">
        <v>24</v>
      </c>
      <c r="O87" s="200"/>
      <c r="Q87" s="200"/>
    </row>
    <row r="88" spans="1:17" ht="13.5" customHeight="1" x14ac:dyDescent="0.25">
      <c r="A88" s="33">
        <v>79</v>
      </c>
      <c r="B88" s="28" t="s">
        <v>238</v>
      </c>
      <c r="C88" s="4" t="s">
        <v>234</v>
      </c>
      <c r="D88" s="4" t="s">
        <v>25</v>
      </c>
      <c r="E88" s="11">
        <f>'ME1'!O53+'ME2'!O53</f>
        <v>5300.3000000000011</v>
      </c>
      <c r="F88" s="11">
        <f>'ME1'!P53+'ME2'!P53</f>
        <v>422.90999999999997</v>
      </c>
      <c r="G88" s="11">
        <f>'ME1'!R53+'ME2'!R53</f>
        <v>0</v>
      </c>
      <c r="H88" s="42">
        <f t="shared" si="3"/>
        <v>422.90999999999997</v>
      </c>
      <c r="I88" s="42">
        <f t="shared" si="4"/>
        <v>4877.3900000000012</v>
      </c>
      <c r="J88" s="42">
        <f>'ME1'!V53+'ME2'!V53</f>
        <v>422.90999999999997</v>
      </c>
      <c r="K88" s="42">
        <f t="shared" si="5"/>
        <v>4454.4800000000014</v>
      </c>
      <c r="L88" s="4" t="s">
        <v>58</v>
      </c>
      <c r="M88" s="4" t="s">
        <v>24</v>
      </c>
      <c r="O88" s="200"/>
      <c r="Q88" s="200"/>
    </row>
    <row r="89" spans="1:17" ht="13.5" customHeight="1" x14ac:dyDescent="0.25">
      <c r="A89" s="33">
        <v>80</v>
      </c>
      <c r="B89" s="28" t="s">
        <v>244</v>
      </c>
      <c r="C89" s="29" t="s">
        <v>242</v>
      </c>
      <c r="D89" s="4" t="s">
        <v>25</v>
      </c>
      <c r="E89" s="11">
        <f>'ME1'!O54+'ME2'!O54</f>
        <v>4437.76</v>
      </c>
      <c r="F89" s="11">
        <f>'ME1'!P54+'ME2'!P54</f>
        <v>274.69000000000005</v>
      </c>
      <c r="G89" s="11">
        <f>'ME1'!R54+'ME2'!R54</f>
        <v>0</v>
      </c>
      <c r="H89" s="42">
        <f t="shared" si="3"/>
        <v>274.69000000000005</v>
      </c>
      <c r="I89" s="42">
        <f t="shared" si="4"/>
        <v>4163.07</v>
      </c>
      <c r="J89" s="42">
        <f>'ME1'!V54+'ME2'!V54</f>
        <v>274.69000000000005</v>
      </c>
      <c r="K89" s="42">
        <f t="shared" si="5"/>
        <v>3888.3799999999997</v>
      </c>
      <c r="L89" s="4" t="s">
        <v>58</v>
      </c>
      <c r="M89" s="4" t="s">
        <v>24</v>
      </c>
      <c r="O89" s="200"/>
      <c r="Q89" s="200"/>
    </row>
    <row r="90" spans="1:17" ht="13.5" customHeight="1" x14ac:dyDescent="0.25">
      <c r="A90" s="33">
        <v>81</v>
      </c>
      <c r="B90" s="28" t="s">
        <v>300</v>
      </c>
      <c r="C90" s="29" t="s">
        <v>293</v>
      </c>
      <c r="D90" s="4" t="s">
        <v>17</v>
      </c>
      <c r="E90" s="11">
        <f>'ME1'!O55+'ME2'!O55</f>
        <v>2260</v>
      </c>
      <c r="F90" s="11">
        <f>'ME1'!P55+'ME2'!P55</f>
        <v>141.80000000000001</v>
      </c>
      <c r="G90" s="11">
        <f>'ME1'!R55+'ME2'!R55</f>
        <v>0</v>
      </c>
      <c r="H90" s="42">
        <f t="shared" si="3"/>
        <v>141.80000000000001</v>
      </c>
      <c r="I90" s="42">
        <f t="shared" si="4"/>
        <v>2118.1999999999998</v>
      </c>
      <c r="J90" s="42">
        <f>'ME1'!V55+'ME2'!V55</f>
        <v>141.80000000000001</v>
      </c>
      <c r="K90" s="42">
        <f t="shared" si="5"/>
        <v>1976.3999999999999</v>
      </c>
      <c r="L90" s="4" t="s">
        <v>58</v>
      </c>
      <c r="M90" s="4" t="s">
        <v>24</v>
      </c>
      <c r="O90" s="200"/>
      <c r="Q90" s="200"/>
    </row>
    <row r="91" spans="1:17" ht="13.5" customHeight="1" x14ac:dyDescent="0.25">
      <c r="A91" s="33">
        <v>82</v>
      </c>
      <c r="B91" s="30" t="s">
        <v>221</v>
      </c>
      <c r="C91" s="11" t="s">
        <v>120</v>
      </c>
      <c r="D91" s="4" t="s">
        <v>30</v>
      </c>
      <c r="E91" s="11">
        <f>'ME1'!O56+'ME2'!O56</f>
        <v>3550.67</v>
      </c>
      <c r="F91" s="11">
        <f>'ME1'!P56+'ME2'!P56</f>
        <v>205.21</v>
      </c>
      <c r="G91" s="11">
        <f>'ME1'!R56+'ME2'!R56</f>
        <v>72.12</v>
      </c>
      <c r="H91" s="42">
        <f t="shared" si="3"/>
        <v>277.33000000000004</v>
      </c>
      <c r="I91" s="42">
        <f t="shared" si="4"/>
        <v>3273.34</v>
      </c>
      <c r="J91" s="42">
        <f>'ME1'!V56+'ME2'!V56</f>
        <v>277.33000000000004</v>
      </c>
      <c r="K91" s="42">
        <f t="shared" si="5"/>
        <v>2996.01</v>
      </c>
      <c r="L91" s="4" t="s">
        <v>58</v>
      </c>
      <c r="M91" s="4" t="s">
        <v>119</v>
      </c>
      <c r="O91" s="200"/>
      <c r="Q91" s="200"/>
    </row>
    <row r="92" spans="1:17" ht="13.5" customHeight="1" x14ac:dyDescent="0.25">
      <c r="A92" s="33">
        <v>83</v>
      </c>
      <c r="B92" s="30" t="s">
        <v>222</v>
      </c>
      <c r="C92" s="11" t="s">
        <v>121</v>
      </c>
      <c r="D92" s="4" t="s">
        <v>9</v>
      </c>
      <c r="E92" s="11">
        <f>'ME1'!O57+'ME2'!O57</f>
        <v>3600.68</v>
      </c>
      <c r="F92" s="11">
        <f>'ME1'!P57+'ME2'!P57</f>
        <v>208.4</v>
      </c>
      <c r="G92" s="11">
        <f>'ME1'!R57+'ME2'!R57</f>
        <v>0</v>
      </c>
      <c r="H92" s="42">
        <f t="shared" si="3"/>
        <v>208.4</v>
      </c>
      <c r="I92" s="42">
        <f t="shared" si="4"/>
        <v>3392.2799999999997</v>
      </c>
      <c r="J92" s="42">
        <f>'ME1'!V57+'ME2'!V57</f>
        <v>208.4</v>
      </c>
      <c r="K92" s="42">
        <f t="shared" si="5"/>
        <v>3183.8799999999997</v>
      </c>
      <c r="L92" s="4" t="s">
        <v>58</v>
      </c>
      <c r="M92" s="4" t="s">
        <v>119</v>
      </c>
      <c r="O92" s="200"/>
      <c r="Q92" s="200"/>
    </row>
    <row r="93" spans="1:17" ht="13.5" customHeight="1" x14ac:dyDescent="0.25">
      <c r="A93" s="33">
        <v>84</v>
      </c>
      <c r="B93" s="30" t="s">
        <v>223</v>
      </c>
      <c r="C93" s="11" t="s">
        <v>122</v>
      </c>
      <c r="D93" s="4" t="s">
        <v>25</v>
      </c>
      <c r="E93" s="11">
        <f>'ME1'!O58+'ME2'!O58</f>
        <v>3600.68</v>
      </c>
      <c r="F93" s="11">
        <f>'ME1'!P58+'ME2'!P58</f>
        <v>208.4</v>
      </c>
      <c r="G93" s="11">
        <f>'ME1'!R58+'ME2'!R58</f>
        <v>72.12</v>
      </c>
      <c r="H93" s="42">
        <f t="shared" si="3"/>
        <v>280.52</v>
      </c>
      <c r="I93" s="42">
        <f t="shared" si="4"/>
        <v>3320.16</v>
      </c>
      <c r="J93" s="42">
        <f>'ME1'!V58+'ME2'!V58</f>
        <v>280.52</v>
      </c>
      <c r="K93" s="42">
        <f t="shared" si="5"/>
        <v>3039.64</v>
      </c>
      <c r="L93" s="4" t="s">
        <v>58</v>
      </c>
      <c r="M93" s="4" t="s">
        <v>119</v>
      </c>
      <c r="O93" s="200"/>
      <c r="Q93" s="200"/>
    </row>
    <row r="94" spans="1:17" ht="13.5" customHeight="1" x14ac:dyDescent="0.25">
      <c r="A94" s="33">
        <v>85</v>
      </c>
      <c r="B94" s="30" t="s">
        <v>224</v>
      </c>
      <c r="C94" s="11" t="s">
        <v>123</v>
      </c>
      <c r="D94" s="2" t="s">
        <v>25</v>
      </c>
      <c r="E94" s="11">
        <f>'ME1'!O59+'ME2'!O59</f>
        <v>3600.68</v>
      </c>
      <c r="F94" s="11">
        <f>'ME1'!P59+'ME2'!P59</f>
        <v>208.4</v>
      </c>
      <c r="G94" s="11">
        <f>'ME1'!R59+'ME2'!R59</f>
        <v>72.12</v>
      </c>
      <c r="H94" s="42">
        <f t="shared" si="3"/>
        <v>280.52</v>
      </c>
      <c r="I94" s="42">
        <f t="shared" si="4"/>
        <v>3320.16</v>
      </c>
      <c r="J94" s="42">
        <f>'ME1'!V59+'ME2'!V59</f>
        <v>280.52</v>
      </c>
      <c r="K94" s="42">
        <f t="shared" si="5"/>
        <v>3039.64</v>
      </c>
      <c r="L94" s="4" t="s">
        <v>58</v>
      </c>
      <c r="M94" s="4" t="s">
        <v>119</v>
      </c>
      <c r="O94" s="200"/>
      <c r="Q94" s="200"/>
    </row>
    <row r="95" spans="1:17" ht="13.5" customHeight="1" x14ac:dyDescent="0.25">
      <c r="A95" s="33">
        <v>86</v>
      </c>
      <c r="B95" s="28" t="s">
        <v>225</v>
      </c>
      <c r="C95" s="10" t="s">
        <v>125</v>
      </c>
      <c r="D95" s="4" t="s">
        <v>124</v>
      </c>
      <c r="E95" s="11">
        <f>'ME1'!O60+'ME2'!O60</f>
        <v>23074.46</v>
      </c>
      <c r="F95" s="11">
        <f>'ME1'!P60+'ME2'!P60</f>
        <v>3889.7400000000002</v>
      </c>
      <c r="G95" s="11">
        <f>'ME1'!R60+'ME2'!R60</f>
        <v>0</v>
      </c>
      <c r="H95" s="42">
        <f t="shared" si="3"/>
        <v>3889.7400000000002</v>
      </c>
      <c r="I95" s="42">
        <f t="shared" si="4"/>
        <v>19184.719999999998</v>
      </c>
      <c r="J95" s="42">
        <f>'ME1'!V60+'ME2'!V60</f>
        <v>3889.7400000000002</v>
      </c>
      <c r="K95" s="42">
        <f t="shared" si="5"/>
        <v>15294.979999999998</v>
      </c>
      <c r="L95" s="4" t="s">
        <v>67</v>
      </c>
      <c r="M95" s="4" t="s">
        <v>119</v>
      </c>
      <c r="O95" s="200"/>
      <c r="Q95" s="200"/>
    </row>
    <row r="96" spans="1:17" ht="13.5" customHeight="1" x14ac:dyDescent="0.25">
      <c r="A96" s="33">
        <v>87</v>
      </c>
      <c r="B96" s="28" t="s">
        <v>226</v>
      </c>
      <c r="C96" s="10" t="s">
        <v>126</v>
      </c>
      <c r="D96" s="4" t="s">
        <v>17</v>
      </c>
      <c r="E96" s="11">
        <f>'ME1'!O61+'ME2'!O61</f>
        <v>9170.14</v>
      </c>
      <c r="F96" s="11">
        <f>'ME1'!P61+'ME2'!P61</f>
        <v>898.3</v>
      </c>
      <c r="G96" s="11">
        <f>'ME1'!R61+'ME2'!R61</f>
        <v>72.2</v>
      </c>
      <c r="H96" s="42">
        <f t="shared" si="3"/>
        <v>970.5</v>
      </c>
      <c r="I96" s="42">
        <f t="shared" si="4"/>
        <v>8199.64</v>
      </c>
      <c r="J96" s="42">
        <f>'ME1'!V61+'ME2'!V61</f>
        <v>970.5</v>
      </c>
      <c r="K96" s="42">
        <f t="shared" si="5"/>
        <v>7229.1399999999994</v>
      </c>
      <c r="L96" s="4" t="s">
        <v>58</v>
      </c>
      <c r="M96" s="4" t="s">
        <v>119</v>
      </c>
      <c r="O96" s="200"/>
      <c r="Q96" s="200"/>
    </row>
    <row r="97" spans="1:17" ht="13.5" customHeight="1" x14ac:dyDescent="0.25">
      <c r="A97" s="33">
        <v>88</v>
      </c>
      <c r="B97" s="28" t="s">
        <v>227</v>
      </c>
      <c r="C97" s="11" t="s">
        <v>127</v>
      </c>
      <c r="D97" s="4" t="s">
        <v>17</v>
      </c>
      <c r="E97" s="11">
        <f>'ME1'!O62+'ME2'!O62</f>
        <v>3202.7000000000003</v>
      </c>
      <c r="F97" s="11">
        <f>'ME1'!P62+'ME2'!P62</f>
        <v>182.94</v>
      </c>
      <c r="G97" s="11">
        <f>'ME1'!R62+'ME2'!R62</f>
        <v>72.2</v>
      </c>
      <c r="H97" s="42">
        <f t="shared" si="3"/>
        <v>255.14</v>
      </c>
      <c r="I97" s="42">
        <f t="shared" si="4"/>
        <v>2947.5600000000004</v>
      </c>
      <c r="J97" s="42">
        <f>'ME1'!V62+'ME2'!V62</f>
        <v>255.14</v>
      </c>
      <c r="K97" s="42">
        <f t="shared" si="5"/>
        <v>2692.4200000000005</v>
      </c>
      <c r="L97" s="4" t="s">
        <v>58</v>
      </c>
      <c r="M97" s="4" t="s">
        <v>119</v>
      </c>
      <c r="O97" s="200"/>
      <c r="Q97" s="200"/>
    </row>
    <row r="98" spans="1:17" ht="13.5" customHeight="1" x14ac:dyDescent="0.25">
      <c r="A98" s="33">
        <v>89</v>
      </c>
      <c r="B98" s="28" t="s">
        <v>228</v>
      </c>
      <c r="C98" s="11" t="s">
        <v>128</v>
      </c>
      <c r="D98" s="4" t="s">
        <v>17</v>
      </c>
      <c r="E98" s="11">
        <f>'ME1'!O63+'ME2'!O63</f>
        <v>4443.2000000000007</v>
      </c>
      <c r="F98" s="11">
        <f>'ME1'!P63+'ME2'!P63</f>
        <v>275.26</v>
      </c>
      <c r="G98" s="11">
        <f>'ME1'!R63+'ME2'!R63</f>
        <v>90</v>
      </c>
      <c r="H98" s="42">
        <f t="shared" si="3"/>
        <v>365.26</v>
      </c>
      <c r="I98" s="42">
        <f t="shared" si="4"/>
        <v>4077.9400000000005</v>
      </c>
      <c r="J98" s="42">
        <f>'ME1'!V63+'ME2'!V63</f>
        <v>365.26</v>
      </c>
      <c r="K98" s="42">
        <f t="shared" si="5"/>
        <v>3712.6800000000003</v>
      </c>
      <c r="L98" s="4" t="s">
        <v>58</v>
      </c>
      <c r="M98" s="4" t="s">
        <v>119</v>
      </c>
      <c r="O98" s="200"/>
      <c r="Q98" s="200"/>
    </row>
    <row r="99" spans="1:17" ht="13.5" customHeight="1" x14ac:dyDescent="0.25">
      <c r="A99" s="33">
        <v>90</v>
      </c>
      <c r="B99" s="28" t="s">
        <v>229</v>
      </c>
      <c r="C99" s="11" t="s">
        <v>129</v>
      </c>
      <c r="D99" s="4" t="s">
        <v>25</v>
      </c>
      <c r="E99" s="11">
        <f>'ME1'!O64+'ME2'!O64</f>
        <v>3600.68</v>
      </c>
      <c r="F99" s="11">
        <f>'ME1'!P64+'ME2'!P64</f>
        <v>208.4</v>
      </c>
      <c r="G99" s="11">
        <f>'ME1'!R64+'ME2'!R64</f>
        <v>0</v>
      </c>
      <c r="H99" s="42">
        <f t="shared" si="3"/>
        <v>208.4</v>
      </c>
      <c r="I99" s="42">
        <f t="shared" si="4"/>
        <v>3392.2799999999997</v>
      </c>
      <c r="J99" s="42">
        <f>'ME1'!V64+'ME2'!V64</f>
        <v>208.4</v>
      </c>
      <c r="K99" s="42">
        <f t="shared" si="5"/>
        <v>3183.8799999999997</v>
      </c>
      <c r="L99" s="4" t="s">
        <v>58</v>
      </c>
      <c r="M99" s="4" t="s">
        <v>119</v>
      </c>
      <c r="O99" s="200"/>
      <c r="Q99" s="200"/>
    </row>
    <row r="100" spans="1:17" ht="13.5" customHeight="1" x14ac:dyDescent="0.25">
      <c r="A100" s="33">
        <v>91</v>
      </c>
      <c r="B100" s="28" t="s">
        <v>230</v>
      </c>
      <c r="C100" s="11" t="s">
        <v>130</v>
      </c>
      <c r="D100" s="4" t="s">
        <v>25</v>
      </c>
      <c r="E100" s="11">
        <f>'ME1'!O65+'ME2'!O65</f>
        <v>3600.68</v>
      </c>
      <c r="F100" s="11">
        <f>'ME1'!P65+'ME2'!P65</f>
        <v>208.4</v>
      </c>
      <c r="G100" s="11">
        <f>'ME1'!R65+'ME2'!R65</f>
        <v>90</v>
      </c>
      <c r="H100" s="42">
        <f t="shared" si="3"/>
        <v>298.39999999999998</v>
      </c>
      <c r="I100" s="42">
        <f t="shared" si="4"/>
        <v>3302.2799999999997</v>
      </c>
      <c r="J100" s="42">
        <f>'ME1'!V65+'ME2'!V65</f>
        <v>298.39999999999998</v>
      </c>
      <c r="K100" s="42">
        <f t="shared" si="5"/>
        <v>3003.8799999999997</v>
      </c>
      <c r="L100" s="4" t="s">
        <v>58</v>
      </c>
      <c r="M100" s="4" t="s">
        <v>119</v>
      </c>
      <c r="O100" s="200"/>
      <c r="Q100" s="200"/>
    </row>
    <row r="101" spans="1:17" ht="13.5" customHeight="1" x14ac:dyDescent="0.25">
      <c r="A101" s="33">
        <v>92</v>
      </c>
      <c r="B101" s="28" t="s">
        <v>231</v>
      </c>
      <c r="C101" s="12" t="s">
        <v>131</v>
      </c>
      <c r="D101" s="9" t="s">
        <v>12</v>
      </c>
      <c r="E101" s="11">
        <f>'ME1'!O66+'ME2'!O66</f>
        <v>7099.8</v>
      </c>
      <c r="F101" s="11">
        <f>'ME1'!P66+'ME2'!P66</f>
        <v>520.78</v>
      </c>
      <c r="G101" s="11">
        <f>'ME1'!R66+'ME2'!R66</f>
        <v>0</v>
      </c>
      <c r="H101" s="42">
        <f t="shared" si="3"/>
        <v>520.78</v>
      </c>
      <c r="I101" s="42">
        <f t="shared" si="4"/>
        <v>6579.02</v>
      </c>
      <c r="J101" s="42">
        <f>'ME1'!V66+'ME2'!V66</f>
        <v>920.78</v>
      </c>
      <c r="K101" s="42">
        <f t="shared" si="5"/>
        <v>5658.2400000000007</v>
      </c>
      <c r="L101" s="9" t="s">
        <v>58</v>
      </c>
      <c r="M101" s="9" t="s">
        <v>119</v>
      </c>
      <c r="O101" s="200"/>
      <c r="Q101" s="200"/>
    </row>
    <row r="102" spans="1:17" x14ac:dyDescent="0.25">
      <c r="A102" s="33">
        <v>93</v>
      </c>
      <c r="B102" s="28" t="s">
        <v>237</v>
      </c>
      <c r="C102" s="4" t="s">
        <v>235</v>
      </c>
      <c r="D102" s="4" t="s">
        <v>25</v>
      </c>
      <c r="E102" s="11">
        <f>'ME1'!O67+'ME2'!O67</f>
        <v>3650.68</v>
      </c>
      <c r="F102" s="11">
        <f>'ME1'!P67+'ME2'!P67</f>
        <v>211.6</v>
      </c>
      <c r="G102" s="11">
        <f>'ME1'!R67+'ME2'!R67</f>
        <v>0</v>
      </c>
      <c r="H102" s="42">
        <f t="shared" si="3"/>
        <v>211.6</v>
      </c>
      <c r="I102" s="42">
        <f t="shared" si="4"/>
        <v>3439.08</v>
      </c>
      <c r="J102" s="42">
        <f>'ME1'!V67+'ME2'!V67</f>
        <v>211.6</v>
      </c>
      <c r="K102" s="42">
        <f t="shared" si="5"/>
        <v>3227.48</v>
      </c>
      <c r="L102" s="4" t="s">
        <v>58</v>
      </c>
      <c r="M102" s="4" t="s">
        <v>119</v>
      </c>
      <c r="O102" s="200"/>
      <c r="Q102" s="200"/>
    </row>
  </sheetData>
  <mergeCells count="3">
    <mergeCell ref="B2:M2"/>
    <mergeCell ref="B3:M3"/>
    <mergeCell ref="B4:M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AE38"/>
  <sheetViews>
    <sheetView topLeftCell="F13" workbookViewId="0">
      <selection activeCell="V37" sqref="V37"/>
    </sheetView>
  </sheetViews>
  <sheetFormatPr baseColWidth="10" defaultRowHeight="15" x14ac:dyDescent="0.25"/>
  <cols>
    <col min="1" max="1" width="11" style="106" hidden="1" customWidth="1"/>
    <col min="2" max="2" width="10" style="2" hidden="1" customWidth="1"/>
    <col min="3" max="3" width="26.28515625" style="2" hidden="1" customWidth="1"/>
    <col min="4" max="4" width="11.7109375" style="2" hidden="1" customWidth="1"/>
    <col min="5" max="5" width="6.7109375" style="46" bestFit="1" customWidth="1"/>
    <col min="6" max="6" width="21.140625" style="46" bestFit="1" customWidth="1"/>
    <col min="7" max="7" width="9.42578125" style="46" bestFit="1" customWidth="1"/>
    <col min="8" max="9" width="8.42578125" style="46" bestFit="1" customWidth="1"/>
    <col min="10" max="10" width="12.7109375" style="46" customWidth="1"/>
    <col min="11" max="11" width="5.28515625" style="46" bestFit="1" customWidth="1"/>
    <col min="12" max="12" width="9.7109375" style="46" bestFit="1" customWidth="1"/>
    <col min="13" max="14" width="8.7109375" style="46" bestFit="1" customWidth="1"/>
    <col min="15" max="15" width="8.28515625" style="46" bestFit="1" customWidth="1"/>
    <col min="16" max="16" width="8.7109375" style="46" bestFit="1" customWidth="1"/>
    <col min="17" max="17" width="7.28515625" style="46" bestFit="1" customWidth="1"/>
    <col min="18" max="19" width="9.28515625" style="46" bestFit="1" customWidth="1"/>
    <col min="20" max="20" width="10" style="46" bestFit="1" customWidth="1"/>
    <col min="21" max="21" width="8.7109375" style="46" bestFit="1" customWidth="1"/>
    <col min="22" max="22" width="8.42578125" style="46" bestFit="1" customWidth="1"/>
    <col min="23" max="23" width="7.42578125" style="46" bestFit="1" customWidth="1"/>
    <col min="24" max="24" width="8.140625" style="46" bestFit="1" customWidth="1"/>
    <col min="25" max="25" width="8.42578125" style="46" bestFit="1" customWidth="1"/>
    <col min="26" max="26" width="8.7109375" style="46" bestFit="1" customWidth="1"/>
    <col min="27" max="27" width="9.28515625" style="46" bestFit="1" customWidth="1"/>
    <col min="28" max="28" width="9.42578125" style="46" customWidth="1"/>
    <col min="29" max="29" width="0.140625" style="106" customWidth="1"/>
    <col min="30" max="30" width="8.42578125" style="106" hidden="1" customWidth="1"/>
    <col min="31" max="32" width="9" customWidth="1"/>
  </cols>
  <sheetData>
    <row r="1" spans="1:31" ht="11.25" customHeight="1" x14ac:dyDescent="0.3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4"/>
      <c r="AD1" s="44"/>
    </row>
    <row r="2" spans="1:31" ht="11.25" customHeight="1" x14ac:dyDescent="0.3">
      <c r="A2" s="47"/>
      <c r="B2" s="1"/>
      <c r="C2" s="1"/>
      <c r="D2" s="1"/>
      <c r="E2" s="48"/>
      <c r="F2" s="48"/>
      <c r="G2" s="48"/>
      <c r="H2" s="48"/>
      <c r="I2" s="48"/>
      <c r="J2" s="49" t="s">
        <v>246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C2" s="47"/>
      <c r="AD2" s="47"/>
    </row>
    <row r="3" spans="1:31" ht="11.25" customHeight="1" x14ac:dyDescent="0.3">
      <c r="A3" s="50"/>
      <c r="B3" s="1"/>
      <c r="C3" s="1"/>
      <c r="D3" s="1"/>
      <c r="E3" s="51"/>
      <c r="F3" s="51"/>
      <c r="G3" s="51"/>
      <c r="H3" s="51"/>
      <c r="I3" s="51"/>
      <c r="J3" s="52" t="str">
        <f>[1]EVENTUAL!J2</f>
        <v>NOMINA DEL  01 AL 15 DE DICIEMBRE DEL 2016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C3" s="50"/>
      <c r="AD3" s="50"/>
    </row>
    <row r="4" spans="1:31" s="65" customFormat="1" thickBot="1" x14ac:dyDescent="0.35">
      <c r="A4" s="53"/>
      <c r="B4" s="54"/>
      <c r="C4" s="54"/>
      <c r="D4" s="54"/>
      <c r="E4" s="55"/>
      <c r="F4" s="56"/>
      <c r="G4" s="57">
        <v>11301</v>
      </c>
      <c r="H4" s="58">
        <v>13301</v>
      </c>
      <c r="I4" s="58">
        <v>13301</v>
      </c>
      <c r="J4" s="57">
        <v>11301</v>
      </c>
      <c r="K4" s="57">
        <v>15404</v>
      </c>
      <c r="L4" s="57">
        <v>15901</v>
      </c>
      <c r="M4" s="57">
        <v>17103</v>
      </c>
      <c r="N4" s="57">
        <v>17103</v>
      </c>
      <c r="O4" s="57">
        <v>15406</v>
      </c>
      <c r="P4" s="57">
        <v>15903</v>
      </c>
      <c r="Q4" s="59">
        <v>1197</v>
      </c>
      <c r="R4" s="57">
        <v>13204</v>
      </c>
      <c r="S4" s="57">
        <v>13204</v>
      </c>
      <c r="T4" s="57"/>
      <c r="U4" s="59">
        <v>2111.1</v>
      </c>
      <c r="V4" s="57">
        <v>52010102</v>
      </c>
      <c r="W4" s="57">
        <v>52010501</v>
      </c>
      <c r="X4" s="60">
        <v>52010304</v>
      </c>
      <c r="Y4" s="57">
        <v>52010104</v>
      </c>
      <c r="Z4" s="61">
        <v>52010305</v>
      </c>
      <c r="AA4" s="62"/>
      <c r="AB4" s="63"/>
      <c r="AC4" s="64" t="s">
        <v>247</v>
      </c>
      <c r="AD4" s="64" t="s">
        <v>247</v>
      </c>
    </row>
    <row r="5" spans="1:31" ht="37.9" customHeight="1" thickBot="1" x14ac:dyDescent="0.35">
      <c r="A5" s="66" t="s">
        <v>248</v>
      </c>
      <c r="B5" s="67" t="s">
        <v>249</v>
      </c>
      <c r="C5" s="67" t="s">
        <v>250</v>
      </c>
      <c r="D5" s="67" t="s">
        <v>251</v>
      </c>
      <c r="E5" s="68" t="s">
        <v>252</v>
      </c>
      <c r="F5" s="69" t="s">
        <v>253</v>
      </c>
      <c r="G5" s="69" t="s">
        <v>254</v>
      </c>
      <c r="H5" s="70" t="s">
        <v>255</v>
      </c>
      <c r="I5" s="70" t="s">
        <v>255</v>
      </c>
      <c r="J5" s="69" t="s">
        <v>256</v>
      </c>
      <c r="K5" s="70" t="s">
        <v>257</v>
      </c>
      <c r="L5" s="69" t="s">
        <v>258</v>
      </c>
      <c r="M5" s="69" t="s">
        <v>259</v>
      </c>
      <c r="N5" s="69" t="s">
        <v>260</v>
      </c>
      <c r="O5" s="69" t="s">
        <v>261</v>
      </c>
      <c r="P5" s="69" t="s">
        <v>262</v>
      </c>
      <c r="Q5" s="69" t="s">
        <v>263</v>
      </c>
      <c r="R5" s="69" t="s">
        <v>264</v>
      </c>
      <c r="S5" s="69" t="s">
        <v>265</v>
      </c>
      <c r="T5" s="69" t="s">
        <v>266</v>
      </c>
      <c r="U5" s="69" t="s">
        <v>1</v>
      </c>
      <c r="V5" s="69" t="s">
        <v>267</v>
      </c>
      <c r="W5" s="69" t="s">
        <v>268</v>
      </c>
      <c r="X5" s="69" t="s">
        <v>269</v>
      </c>
      <c r="Y5" s="69" t="s">
        <v>270</v>
      </c>
      <c r="Z5" s="69" t="s">
        <v>271</v>
      </c>
      <c r="AA5" s="69" t="s">
        <v>272</v>
      </c>
      <c r="AB5" s="71" t="s">
        <v>273</v>
      </c>
      <c r="AC5" s="66" t="s">
        <v>258</v>
      </c>
      <c r="AD5" s="66" t="s">
        <v>258</v>
      </c>
    </row>
    <row r="6" spans="1:31" ht="14.45" x14ac:dyDescent="0.3">
      <c r="A6" s="72" t="s">
        <v>2</v>
      </c>
      <c r="B6" s="73" t="s">
        <v>3</v>
      </c>
      <c r="C6" s="73" t="s">
        <v>4</v>
      </c>
      <c r="D6" s="73"/>
      <c r="E6" s="74">
        <v>28</v>
      </c>
      <c r="F6" s="75" t="s">
        <v>5</v>
      </c>
      <c r="G6" s="76">
        <v>3575.07</v>
      </c>
      <c r="H6" s="76"/>
      <c r="I6" s="76"/>
      <c r="J6" s="76">
        <v>160.38</v>
      </c>
      <c r="K6" s="76"/>
      <c r="L6" s="76">
        <f>AC6+AD6</f>
        <v>326.42</v>
      </c>
      <c r="M6" s="76">
        <v>325.51</v>
      </c>
      <c r="N6" s="76">
        <v>310.01</v>
      </c>
      <c r="O6" s="76"/>
      <c r="P6" s="76">
        <v>194.4</v>
      </c>
      <c r="Q6" s="77"/>
      <c r="R6" s="77"/>
      <c r="S6" s="77"/>
      <c r="T6" s="78">
        <f>SUM(G6:S6)</f>
        <v>4891.79</v>
      </c>
      <c r="U6" s="79">
        <v>504</v>
      </c>
      <c r="V6" s="78">
        <v>72.36</v>
      </c>
      <c r="W6" s="78">
        <v>18.55</v>
      </c>
      <c r="X6" s="78"/>
      <c r="Y6" s="78"/>
      <c r="Z6" s="78"/>
      <c r="AA6" s="78">
        <f>SUM(U6:Z6)</f>
        <v>594.91</v>
      </c>
      <c r="AB6" s="78">
        <f t="shared" ref="AB6:AB15" si="0">T6-AA6</f>
        <v>4296.88</v>
      </c>
      <c r="AC6" s="80">
        <v>326.42</v>
      </c>
      <c r="AD6" s="80"/>
    </row>
    <row r="7" spans="1:31" ht="14.45" x14ac:dyDescent="0.3">
      <c r="A7" s="81" t="s">
        <v>6</v>
      </c>
      <c r="B7" s="73" t="s">
        <v>3</v>
      </c>
      <c r="C7" s="73" t="s">
        <v>7</v>
      </c>
      <c r="D7" s="73"/>
      <c r="E7" s="82">
        <v>31</v>
      </c>
      <c r="F7" s="83" t="s">
        <v>8</v>
      </c>
      <c r="G7" s="76">
        <v>4090.7400000000002</v>
      </c>
      <c r="H7" s="76"/>
      <c r="I7" s="76"/>
      <c r="J7" s="76" t="s">
        <v>274</v>
      </c>
      <c r="K7" s="76"/>
      <c r="L7" s="76">
        <f>AC7+AD7</f>
        <v>2303.31</v>
      </c>
      <c r="M7" s="76" t="s">
        <v>274</v>
      </c>
      <c r="N7" s="76" t="s">
        <v>274</v>
      </c>
      <c r="O7" s="76"/>
      <c r="P7" s="76" t="s">
        <v>274</v>
      </c>
      <c r="Q7" s="84"/>
      <c r="R7" s="84"/>
      <c r="S7" s="84"/>
      <c r="T7" s="78">
        <f t="shared" ref="T7:T28" si="1">SUM(G7:S7)</f>
        <v>6394.05</v>
      </c>
      <c r="U7" s="85">
        <v>818.57</v>
      </c>
      <c r="V7" s="86">
        <v>111.49</v>
      </c>
      <c r="W7" s="86">
        <v>23.41</v>
      </c>
      <c r="X7" s="86"/>
      <c r="Y7" s="86"/>
      <c r="Z7" s="86"/>
      <c r="AA7" s="78">
        <f t="shared" ref="AA7:AA28" si="2">SUM(U7:Z7)</f>
        <v>953.47</v>
      </c>
      <c r="AB7" s="78">
        <f t="shared" si="0"/>
        <v>5440.58</v>
      </c>
      <c r="AC7" s="80">
        <v>2303.31</v>
      </c>
      <c r="AD7" s="80"/>
    </row>
    <row r="8" spans="1:31" x14ac:dyDescent="0.25">
      <c r="A8" s="87" t="s">
        <v>6</v>
      </c>
      <c r="B8" s="73" t="s">
        <v>3</v>
      </c>
      <c r="C8" s="73" t="s">
        <v>9</v>
      </c>
      <c r="D8" s="73"/>
      <c r="E8" s="88">
        <v>82</v>
      </c>
      <c r="F8" s="89" t="s">
        <v>10</v>
      </c>
      <c r="G8" s="76">
        <v>2351.3200000000002</v>
      </c>
      <c r="H8" s="76"/>
      <c r="I8" s="76">
        <f>H8</f>
        <v>0</v>
      </c>
      <c r="J8" s="76">
        <v>125.97</v>
      </c>
      <c r="K8" s="76"/>
      <c r="L8" s="76">
        <f>AC8+AD8</f>
        <v>567.79</v>
      </c>
      <c r="M8" s="76">
        <v>170.14</v>
      </c>
      <c r="N8" s="76">
        <v>170.14</v>
      </c>
      <c r="O8" s="76"/>
      <c r="P8" s="76">
        <v>108</v>
      </c>
      <c r="Q8" s="76"/>
      <c r="R8" s="76"/>
      <c r="S8" s="76"/>
      <c r="T8" s="78">
        <f t="shared" si="1"/>
        <v>3493.3599999999997</v>
      </c>
      <c r="U8" s="90">
        <v>275.99</v>
      </c>
      <c r="V8" s="91">
        <v>46.93</v>
      </c>
      <c r="W8" s="91">
        <v>18.899999999999999</v>
      </c>
      <c r="X8" s="91"/>
      <c r="Y8" s="91">
        <v>412.98</v>
      </c>
      <c r="Z8" s="91"/>
      <c r="AA8" s="78">
        <f t="shared" si="2"/>
        <v>754.8</v>
      </c>
      <c r="AB8" s="78">
        <f t="shared" si="0"/>
        <v>2738.5599999999995</v>
      </c>
      <c r="AC8" s="80">
        <v>567.79</v>
      </c>
      <c r="AD8" s="80"/>
    </row>
    <row r="9" spans="1:31" ht="14.45" x14ac:dyDescent="0.3">
      <c r="A9" s="87" t="s">
        <v>6</v>
      </c>
      <c r="B9" s="73" t="s">
        <v>3</v>
      </c>
      <c r="C9" s="73" t="s">
        <v>9</v>
      </c>
      <c r="D9" s="73"/>
      <c r="E9" s="88">
        <v>110</v>
      </c>
      <c r="F9" s="92" t="s">
        <v>275</v>
      </c>
      <c r="G9" s="76">
        <v>2313.23</v>
      </c>
      <c r="H9" s="76">
        <f>G9/15</f>
        <v>154.21533333333335</v>
      </c>
      <c r="I9" s="76">
        <f>H9</f>
        <v>154.21533333333335</v>
      </c>
      <c r="J9" s="76">
        <v>160.38</v>
      </c>
      <c r="K9" s="76"/>
      <c r="L9" s="76">
        <f>AC9+AD9</f>
        <v>608.89</v>
      </c>
      <c r="M9" s="76">
        <v>193.79</v>
      </c>
      <c r="N9" s="76">
        <v>193.79</v>
      </c>
      <c r="O9" s="76"/>
      <c r="P9" s="76">
        <v>194.4</v>
      </c>
      <c r="Q9" s="76"/>
      <c r="R9" s="76"/>
      <c r="S9" s="76">
        <v>172.7</v>
      </c>
      <c r="T9" s="78">
        <f t="shared" si="1"/>
        <v>4145.6106666666674</v>
      </c>
      <c r="U9" s="90">
        <v>372.39</v>
      </c>
      <c r="V9" s="91">
        <v>48.11</v>
      </c>
      <c r="W9" s="91">
        <v>19.38</v>
      </c>
      <c r="X9" s="91">
        <v>3.6</v>
      </c>
      <c r="Y9" s="91"/>
      <c r="Z9" s="91">
        <v>624.52</v>
      </c>
      <c r="AA9" s="78">
        <f t="shared" si="2"/>
        <v>1068</v>
      </c>
      <c r="AB9" s="78">
        <f t="shared" si="0"/>
        <v>3077.6106666666674</v>
      </c>
      <c r="AC9" s="80">
        <v>608.89</v>
      </c>
      <c r="AD9" s="80"/>
    </row>
    <row r="10" spans="1:31" ht="14.45" x14ac:dyDescent="0.3">
      <c r="A10" s="87" t="s">
        <v>11</v>
      </c>
      <c r="B10" s="73" t="s">
        <v>3</v>
      </c>
      <c r="C10" s="73" t="s">
        <v>12</v>
      </c>
      <c r="D10" s="73"/>
      <c r="E10" s="88">
        <v>121</v>
      </c>
      <c r="F10" s="92" t="s">
        <v>13</v>
      </c>
      <c r="G10" s="76">
        <v>2791.41</v>
      </c>
      <c r="H10" s="76"/>
      <c r="I10" s="76">
        <f t="shared" ref="I10" si="3">H10</f>
        <v>0</v>
      </c>
      <c r="J10" s="76">
        <v>188.44</v>
      </c>
      <c r="K10" s="76"/>
      <c r="L10" s="76">
        <f>AC10+AD10</f>
        <v>850</v>
      </c>
      <c r="M10" s="76">
        <v>237.33</v>
      </c>
      <c r="N10" s="76">
        <v>237.33</v>
      </c>
      <c r="O10" s="76"/>
      <c r="P10" s="76">
        <v>97.2</v>
      </c>
      <c r="Q10" s="76"/>
      <c r="R10" s="76"/>
      <c r="S10" s="76">
        <f>R10*0.28</f>
        <v>0</v>
      </c>
      <c r="T10" s="78">
        <f t="shared" si="1"/>
        <v>4401.71</v>
      </c>
      <c r="U10" s="90">
        <v>416.29</v>
      </c>
      <c r="V10" s="91">
        <v>50.86</v>
      </c>
      <c r="W10" s="91">
        <v>17.350000000000001</v>
      </c>
      <c r="X10" s="91">
        <v>500</v>
      </c>
      <c r="Y10" s="91"/>
      <c r="Z10" s="91"/>
      <c r="AA10" s="78">
        <f t="shared" si="2"/>
        <v>984.5</v>
      </c>
      <c r="AB10" s="78">
        <f t="shared" si="0"/>
        <v>3417.21</v>
      </c>
      <c r="AC10" s="80">
        <v>300</v>
      </c>
      <c r="AD10" s="80">
        <v>550</v>
      </c>
    </row>
    <row r="11" spans="1:31" ht="14.45" x14ac:dyDescent="0.3">
      <c r="A11" s="87" t="s">
        <v>14</v>
      </c>
      <c r="B11" s="73" t="s">
        <v>3</v>
      </c>
      <c r="C11" s="73" t="s">
        <v>15</v>
      </c>
      <c r="D11" s="73"/>
      <c r="E11" s="88">
        <v>11</v>
      </c>
      <c r="F11" s="93" t="s">
        <v>16</v>
      </c>
      <c r="G11" s="76">
        <v>2156.5499999999997</v>
      </c>
      <c r="H11" s="76"/>
      <c r="I11" s="76">
        <f>H11</f>
        <v>0</v>
      </c>
      <c r="J11" s="76">
        <f>200</f>
        <v>200</v>
      </c>
      <c r="K11" s="76"/>
      <c r="L11" s="76">
        <v>810.81</v>
      </c>
      <c r="M11" s="76">
        <v>190.88</v>
      </c>
      <c r="N11" s="76">
        <v>190.88</v>
      </c>
      <c r="O11" s="76"/>
      <c r="P11" s="76">
        <v>237.61</v>
      </c>
      <c r="Q11" s="76"/>
      <c r="R11" s="76"/>
      <c r="S11" s="76"/>
      <c r="T11" s="78">
        <f t="shared" si="1"/>
        <v>3786.73</v>
      </c>
      <c r="U11" s="90">
        <v>314.97000000000003</v>
      </c>
      <c r="V11" s="91">
        <v>44.28</v>
      </c>
      <c r="W11" s="91">
        <v>19.088200000000001</v>
      </c>
      <c r="X11" s="91"/>
      <c r="Y11" s="91"/>
      <c r="Z11" s="91"/>
      <c r="AA11" s="78">
        <f t="shared" si="2"/>
        <v>378.33820000000003</v>
      </c>
      <c r="AB11" s="78">
        <f t="shared" si="0"/>
        <v>3408.3917999999999</v>
      </c>
      <c r="AC11" s="80">
        <f>810.81</f>
        <v>810.81</v>
      </c>
      <c r="AD11" s="80">
        <v>300</v>
      </c>
    </row>
    <row r="12" spans="1:31" ht="14.45" x14ac:dyDescent="0.3">
      <c r="A12" s="87" t="s">
        <v>14</v>
      </c>
      <c r="B12" s="73" t="s">
        <v>3</v>
      </c>
      <c r="C12" s="73" t="s">
        <v>17</v>
      </c>
      <c r="D12" s="73"/>
      <c r="E12" s="88">
        <v>21</v>
      </c>
      <c r="F12" s="93" t="s">
        <v>18</v>
      </c>
      <c r="G12" s="76">
        <v>2680.19</v>
      </c>
      <c r="H12" s="76"/>
      <c r="I12" s="76"/>
      <c r="J12" s="76">
        <v>90.53</v>
      </c>
      <c r="K12" s="76"/>
      <c r="L12" s="76">
        <v>966</v>
      </c>
      <c r="M12" s="76">
        <v>133.56</v>
      </c>
      <c r="N12" s="76">
        <v>133.56</v>
      </c>
      <c r="O12" s="76"/>
      <c r="P12" s="76">
        <v>106.92</v>
      </c>
      <c r="Q12" s="76"/>
      <c r="R12" s="76"/>
      <c r="S12" s="76"/>
      <c r="T12" s="78">
        <f t="shared" si="1"/>
        <v>4110.76</v>
      </c>
      <c r="U12" s="90">
        <v>366.81</v>
      </c>
      <c r="V12" s="91">
        <v>60.17</v>
      </c>
      <c r="W12" s="91">
        <v>22.26</v>
      </c>
      <c r="X12" s="91"/>
      <c r="Y12" s="91">
        <v>664.51</v>
      </c>
      <c r="Z12" s="91"/>
      <c r="AA12" s="78">
        <f t="shared" si="2"/>
        <v>1113.75</v>
      </c>
      <c r="AB12" s="78">
        <f t="shared" si="0"/>
        <v>2997.01</v>
      </c>
      <c r="AC12" s="80">
        <v>666</v>
      </c>
      <c r="AD12" s="80">
        <v>600</v>
      </c>
    </row>
    <row r="13" spans="1:31" ht="14.45" x14ac:dyDescent="0.3">
      <c r="A13" s="87" t="s">
        <v>14</v>
      </c>
      <c r="B13" s="73" t="s">
        <v>3</v>
      </c>
      <c r="C13" s="73" t="s">
        <v>15</v>
      </c>
      <c r="D13" s="73"/>
      <c r="E13" s="88">
        <v>51</v>
      </c>
      <c r="F13" s="94" t="s">
        <v>19</v>
      </c>
      <c r="G13" s="76">
        <f>1956.04</f>
        <v>1956.04</v>
      </c>
      <c r="H13" s="76"/>
      <c r="I13" s="76">
        <f>H13</f>
        <v>0</v>
      </c>
      <c r="J13" s="76">
        <v>191.29</v>
      </c>
      <c r="K13" s="76"/>
      <c r="L13" s="76">
        <v>1980</v>
      </c>
      <c r="M13" s="76">
        <v>86.36</v>
      </c>
      <c r="N13" s="76">
        <v>86.36</v>
      </c>
      <c r="O13" s="76"/>
      <c r="P13" s="76">
        <v>106.92</v>
      </c>
      <c r="Q13" s="76"/>
      <c r="R13" s="76"/>
      <c r="S13" s="76"/>
      <c r="T13" s="78">
        <f t="shared" si="1"/>
        <v>4406.9699999999993</v>
      </c>
      <c r="U13" s="90">
        <v>417.23</v>
      </c>
      <c r="V13" s="91">
        <v>35.729999999999997</v>
      </c>
      <c r="W13" s="91">
        <v>10.06</v>
      </c>
      <c r="X13" s="91">
        <v>0</v>
      </c>
      <c r="Y13" s="91"/>
      <c r="Z13" s="91">
        <v>649.38</v>
      </c>
      <c r="AA13" s="78">
        <f t="shared" si="2"/>
        <v>1112.4000000000001</v>
      </c>
      <c r="AB13" s="78">
        <f t="shared" si="0"/>
        <v>3294.5699999999993</v>
      </c>
      <c r="AC13" s="80">
        <v>1530</v>
      </c>
      <c r="AD13" s="80">
        <v>450</v>
      </c>
    </row>
    <row r="14" spans="1:31" ht="14.45" x14ac:dyDescent="0.3">
      <c r="A14" s="95" t="s">
        <v>14</v>
      </c>
      <c r="B14" s="73" t="s">
        <v>20</v>
      </c>
      <c r="C14" s="73" t="s">
        <v>17</v>
      </c>
      <c r="D14" s="73"/>
      <c r="E14" s="96">
        <v>112</v>
      </c>
      <c r="F14" s="93" t="s">
        <v>21</v>
      </c>
      <c r="G14" s="97">
        <v>1793.37</v>
      </c>
      <c r="H14" s="97">
        <f>G14/15*1.5</f>
        <v>179.33699999999999</v>
      </c>
      <c r="I14" s="76">
        <f t="shared" ref="I14" si="4">H14</f>
        <v>179.33699999999999</v>
      </c>
      <c r="J14" s="97" t="s">
        <v>276</v>
      </c>
      <c r="K14" s="76"/>
      <c r="L14" s="76">
        <v>924</v>
      </c>
      <c r="M14" s="97">
        <v>172.44</v>
      </c>
      <c r="N14" s="97">
        <v>172.44</v>
      </c>
      <c r="O14" s="76"/>
      <c r="P14" s="97">
        <v>106.92</v>
      </c>
      <c r="Q14" s="97"/>
      <c r="R14" s="97"/>
      <c r="S14" s="97"/>
      <c r="T14" s="78">
        <f t="shared" si="1"/>
        <v>3527.8440000000001</v>
      </c>
      <c r="U14" s="98">
        <v>172.35</v>
      </c>
      <c r="V14" s="99">
        <v>42.82</v>
      </c>
      <c r="W14" s="99"/>
      <c r="X14" s="99"/>
      <c r="Y14" s="99"/>
      <c r="Z14" s="99">
        <v>759.4</v>
      </c>
      <c r="AA14" s="78">
        <f t="shared" si="2"/>
        <v>974.56999999999994</v>
      </c>
      <c r="AB14" s="78">
        <f t="shared" si="0"/>
        <v>2553.2740000000003</v>
      </c>
      <c r="AC14" s="100">
        <v>174</v>
      </c>
      <c r="AD14" s="80">
        <v>450</v>
      </c>
      <c r="AE14" s="101"/>
    </row>
    <row r="15" spans="1:31" ht="14.45" x14ac:dyDescent="0.3">
      <c r="A15" s="95" t="s">
        <v>14</v>
      </c>
      <c r="B15" s="73" t="s">
        <v>3</v>
      </c>
      <c r="C15" s="73" t="s">
        <v>17</v>
      </c>
      <c r="D15" s="73"/>
      <c r="E15" s="96">
        <v>118</v>
      </c>
      <c r="F15" s="93" t="s">
        <v>22</v>
      </c>
      <c r="G15" s="97">
        <v>1468.53</v>
      </c>
      <c r="H15" s="97"/>
      <c r="I15" s="76"/>
      <c r="J15" s="97">
        <v>90.53</v>
      </c>
      <c r="K15" s="76"/>
      <c r="L15" s="76">
        <v>1000</v>
      </c>
      <c r="M15" s="97">
        <v>121.34</v>
      </c>
      <c r="N15" s="97">
        <v>121.34</v>
      </c>
      <c r="O15" s="97"/>
      <c r="P15" s="97">
        <v>100.6</v>
      </c>
      <c r="Q15" s="97"/>
      <c r="R15" s="97"/>
      <c r="S15" s="97"/>
      <c r="T15" s="78">
        <f t="shared" si="1"/>
        <v>2902.34</v>
      </c>
      <c r="U15" s="98">
        <v>66.34</v>
      </c>
      <c r="V15" s="99">
        <v>30.13</v>
      </c>
      <c r="W15" s="99">
        <v>12.13</v>
      </c>
      <c r="X15" s="102"/>
      <c r="Y15" s="102"/>
      <c r="Z15" s="99"/>
      <c r="AA15" s="78">
        <f t="shared" si="2"/>
        <v>108.6</v>
      </c>
      <c r="AB15" s="78">
        <f t="shared" si="0"/>
        <v>2793.7400000000002</v>
      </c>
      <c r="AC15" s="103">
        <v>700</v>
      </c>
      <c r="AD15" s="80">
        <v>300</v>
      </c>
    </row>
    <row r="16" spans="1:31" ht="14.45" x14ac:dyDescent="0.3">
      <c r="A16" s="87" t="s">
        <v>24</v>
      </c>
      <c r="B16" s="73" t="s">
        <v>20</v>
      </c>
      <c r="C16" s="73" t="s">
        <v>25</v>
      </c>
      <c r="D16" s="73"/>
      <c r="E16" s="88">
        <v>5</v>
      </c>
      <c r="F16" s="92" t="s">
        <v>26</v>
      </c>
      <c r="G16" s="76">
        <v>957.21</v>
      </c>
      <c r="H16" s="76"/>
      <c r="I16" s="76"/>
      <c r="J16" s="76">
        <v>82.3</v>
      </c>
      <c r="K16" s="76"/>
      <c r="L16" s="76">
        <f t="shared" ref="L16:L28" si="5">AC16+AD16</f>
        <v>224.36</v>
      </c>
      <c r="M16" s="76">
        <v>55.22</v>
      </c>
      <c r="N16" s="76">
        <v>55.22</v>
      </c>
      <c r="O16" s="76"/>
      <c r="P16" s="76">
        <v>97.2</v>
      </c>
      <c r="Q16" s="76">
        <v>111.54</v>
      </c>
      <c r="R16" s="76"/>
      <c r="S16" s="76"/>
      <c r="T16" s="78">
        <f t="shared" si="1"/>
        <v>1583.05</v>
      </c>
      <c r="U16" s="76"/>
      <c r="V16" s="91">
        <v>22.84</v>
      </c>
      <c r="W16" s="91"/>
      <c r="X16" s="91"/>
      <c r="Y16" s="91"/>
      <c r="Z16" s="91"/>
      <c r="AA16" s="78">
        <f t="shared" si="2"/>
        <v>22.84</v>
      </c>
      <c r="AB16" s="78">
        <f t="shared" ref="AB16:AB28" si="6">T16-AA16</f>
        <v>1560.21</v>
      </c>
      <c r="AC16" s="80">
        <v>224.36</v>
      </c>
      <c r="AD16" s="80"/>
    </row>
    <row r="17" spans="1:30" ht="14.45" x14ac:dyDescent="0.3">
      <c r="A17" s="87" t="s">
        <v>24</v>
      </c>
      <c r="B17" s="73" t="s">
        <v>20</v>
      </c>
      <c r="C17" s="73" t="s">
        <v>25</v>
      </c>
      <c r="D17" s="73"/>
      <c r="E17" s="88">
        <v>6</v>
      </c>
      <c r="F17" s="92" t="s">
        <v>27</v>
      </c>
      <c r="G17" s="76">
        <v>2121.44</v>
      </c>
      <c r="H17" s="76"/>
      <c r="I17" s="76">
        <f t="shared" ref="I17:I19" si="7">H17</f>
        <v>0</v>
      </c>
      <c r="J17" s="76">
        <v>188.44</v>
      </c>
      <c r="K17" s="76"/>
      <c r="L17" s="76">
        <f t="shared" si="5"/>
        <v>207.28</v>
      </c>
      <c r="M17" s="76">
        <v>122.39</v>
      </c>
      <c r="N17" s="76">
        <v>122.39</v>
      </c>
      <c r="O17" s="76"/>
      <c r="P17" s="76">
        <v>97.2</v>
      </c>
      <c r="Q17" s="76"/>
      <c r="R17" s="76"/>
      <c r="S17" s="76"/>
      <c r="T17" s="78">
        <f t="shared" si="1"/>
        <v>2859.14</v>
      </c>
      <c r="U17" s="90"/>
      <c r="V17" s="91">
        <v>51.68</v>
      </c>
      <c r="W17" s="91"/>
      <c r="X17" s="91"/>
      <c r="Y17" s="91"/>
      <c r="Z17" s="91">
        <v>586.33000000000004</v>
      </c>
      <c r="AA17" s="78">
        <f t="shared" si="2"/>
        <v>638.01</v>
      </c>
      <c r="AB17" s="78">
        <f t="shared" si="6"/>
        <v>2221.13</v>
      </c>
      <c r="AC17" s="80">
        <v>207.28</v>
      </c>
      <c r="AD17" s="80"/>
    </row>
    <row r="18" spans="1:30" x14ac:dyDescent="0.25">
      <c r="A18" s="87" t="s">
        <v>24</v>
      </c>
      <c r="B18" s="73" t="s">
        <v>3</v>
      </c>
      <c r="C18" s="73" t="s">
        <v>28</v>
      </c>
      <c r="D18" s="73"/>
      <c r="E18" s="88">
        <v>24</v>
      </c>
      <c r="F18" s="93" t="s">
        <v>29</v>
      </c>
      <c r="G18" s="76">
        <v>4006.16</v>
      </c>
      <c r="H18" s="76">
        <f>G18/15</f>
        <v>267.07733333333334</v>
      </c>
      <c r="I18" s="76">
        <f t="shared" si="7"/>
        <v>267.07733333333334</v>
      </c>
      <c r="J18" s="76" t="s">
        <v>274</v>
      </c>
      <c r="K18" s="76"/>
      <c r="L18" s="76">
        <f t="shared" si="5"/>
        <v>1095</v>
      </c>
      <c r="M18" s="76" t="s">
        <v>274</v>
      </c>
      <c r="N18" s="76" t="s">
        <v>274</v>
      </c>
      <c r="O18" s="76"/>
      <c r="P18" s="76" t="s">
        <v>274</v>
      </c>
      <c r="Q18" s="76"/>
      <c r="R18" s="104"/>
      <c r="S18" s="105"/>
      <c r="T18" s="78">
        <f t="shared" si="1"/>
        <v>5635.3146666666671</v>
      </c>
      <c r="U18" s="90">
        <v>656.51</v>
      </c>
      <c r="V18" s="91">
        <v>111.49</v>
      </c>
      <c r="W18" s="91">
        <v>40.369999999999997</v>
      </c>
      <c r="X18" s="91"/>
      <c r="Y18" s="91"/>
      <c r="Z18" s="91"/>
      <c r="AA18" s="78">
        <f t="shared" si="2"/>
        <v>808.37</v>
      </c>
      <c r="AB18" s="78">
        <f t="shared" si="6"/>
        <v>4826.9446666666672</v>
      </c>
      <c r="AC18" s="80">
        <v>1095</v>
      </c>
      <c r="AD18" s="80"/>
    </row>
    <row r="19" spans="1:30" ht="14.45" x14ac:dyDescent="0.3">
      <c r="A19" s="87" t="s">
        <v>24</v>
      </c>
      <c r="B19" s="73" t="s">
        <v>3</v>
      </c>
      <c r="C19" s="73" t="s">
        <v>30</v>
      </c>
      <c r="D19" s="73"/>
      <c r="E19" s="88">
        <v>25</v>
      </c>
      <c r="F19" s="93" t="s">
        <v>31</v>
      </c>
      <c r="G19" s="76">
        <v>2712.3399999999997</v>
      </c>
      <c r="H19" s="76"/>
      <c r="I19" s="76">
        <f t="shared" si="7"/>
        <v>0</v>
      </c>
      <c r="J19" s="76">
        <v>182.34</v>
      </c>
      <c r="K19" s="76"/>
      <c r="L19" s="76">
        <f t="shared" si="5"/>
        <v>150</v>
      </c>
      <c r="M19" s="76">
        <v>139.51</v>
      </c>
      <c r="N19" s="76">
        <v>139.51</v>
      </c>
      <c r="O19" s="76"/>
      <c r="P19" s="76">
        <v>106.92</v>
      </c>
      <c r="Q19" s="76"/>
      <c r="R19" s="76"/>
      <c r="S19" s="76"/>
      <c r="T19" s="78">
        <f t="shared" si="1"/>
        <v>3430.62</v>
      </c>
      <c r="U19" s="90">
        <v>144.07</v>
      </c>
      <c r="V19" s="91">
        <v>64.709999999999994</v>
      </c>
      <c r="W19" s="91">
        <v>23.25</v>
      </c>
      <c r="X19" s="91"/>
      <c r="Y19" s="91"/>
      <c r="Z19" s="91"/>
      <c r="AA19" s="78">
        <f t="shared" si="2"/>
        <v>232.02999999999997</v>
      </c>
      <c r="AB19" s="78">
        <f t="shared" si="6"/>
        <v>3198.59</v>
      </c>
      <c r="AC19" s="80">
        <f>150</f>
        <v>150</v>
      </c>
      <c r="AD19" s="80"/>
    </row>
    <row r="20" spans="1:30" ht="14.45" x14ac:dyDescent="0.3">
      <c r="A20" s="87" t="s">
        <v>24</v>
      </c>
      <c r="B20" s="73" t="s">
        <v>3</v>
      </c>
      <c r="C20" s="73" t="s">
        <v>30</v>
      </c>
      <c r="D20" s="73"/>
      <c r="E20" s="88">
        <v>27</v>
      </c>
      <c r="F20" s="92" t="s">
        <v>32</v>
      </c>
      <c r="G20" s="76">
        <v>1734.79</v>
      </c>
      <c r="H20" s="76"/>
      <c r="I20" s="76">
        <f>H20</f>
        <v>0</v>
      </c>
      <c r="J20" s="76">
        <v>99.51</v>
      </c>
      <c r="K20" s="76"/>
      <c r="L20" s="76">
        <f t="shared" si="5"/>
        <v>930.61</v>
      </c>
      <c r="M20" s="76">
        <v>85.38</v>
      </c>
      <c r="N20" s="76">
        <v>85.38</v>
      </c>
      <c r="O20" s="76"/>
      <c r="P20" s="76">
        <v>106.92</v>
      </c>
      <c r="Q20" s="76"/>
      <c r="R20" s="76"/>
      <c r="S20" s="76">
        <f>Q20*0.28</f>
        <v>0</v>
      </c>
      <c r="T20" s="78">
        <f t="shared" si="1"/>
        <v>3042.59</v>
      </c>
      <c r="U20" s="90">
        <v>81.599999999999994</v>
      </c>
      <c r="V20" s="91">
        <v>35.33</v>
      </c>
      <c r="W20" s="91">
        <v>14.23</v>
      </c>
      <c r="X20" s="91"/>
      <c r="Y20" s="91"/>
      <c r="Z20" s="91">
        <v>337.86</v>
      </c>
      <c r="AA20" s="78">
        <f t="shared" si="2"/>
        <v>469.02</v>
      </c>
      <c r="AB20" s="78">
        <f t="shared" si="6"/>
        <v>2573.5700000000002</v>
      </c>
      <c r="AC20" s="80">
        <v>930.61</v>
      </c>
      <c r="AD20" s="80"/>
    </row>
    <row r="21" spans="1:30" ht="14.45" x14ac:dyDescent="0.3">
      <c r="A21" s="87" t="s">
        <v>24</v>
      </c>
      <c r="B21" s="73" t="s">
        <v>20</v>
      </c>
      <c r="C21" s="73" t="s">
        <v>33</v>
      </c>
      <c r="D21" s="73"/>
      <c r="E21" s="88">
        <v>32</v>
      </c>
      <c r="F21" s="92" t="s">
        <v>34</v>
      </c>
      <c r="G21" s="76">
        <v>2990.83</v>
      </c>
      <c r="H21" s="76"/>
      <c r="I21" s="76">
        <f>H21</f>
        <v>0</v>
      </c>
      <c r="J21" s="76">
        <v>261.72000000000003</v>
      </c>
      <c r="K21" s="76"/>
      <c r="L21" s="76">
        <f t="shared" si="5"/>
        <v>864.83</v>
      </c>
      <c r="M21" s="76">
        <v>299.08</v>
      </c>
      <c r="N21" s="76">
        <v>299.08</v>
      </c>
      <c r="O21" s="76"/>
      <c r="P21" s="76">
        <v>194.4</v>
      </c>
      <c r="Q21" s="76"/>
      <c r="R21" s="76"/>
      <c r="S21" s="76"/>
      <c r="T21" s="78">
        <f t="shared" si="1"/>
        <v>4909.9399999999996</v>
      </c>
      <c r="U21" s="90">
        <v>507.37</v>
      </c>
      <c r="V21" s="91">
        <v>89.89</v>
      </c>
      <c r="W21" s="91"/>
      <c r="X21" s="91"/>
      <c r="Y21" s="91"/>
      <c r="Z21" s="91"/>
      <c r="AA21" s="78">
        <f t="shared" si="2"/>
        <v>597.26</v>
      </c>
      <c r="AB21" s="78">
        <f t="shared" si="6"/>
        <v>4312.6799999999994</v>
      </c>
      <c r="AC21" s="80">
        <v>864.83</v>
      </c>
      <c r="AD21" s="80"/>
    </row>
    <row r="22" spans="1:30" ht="14.45" x14ac:dyDescent="0.3">
      <c r="A22" s="87" t="s">
        <v>24</v>
      </c>
      <c r="B22" s="73" t="s">
        <v>3</v>
      </c>
      <c r="C22" s="73" t="s">
        <v>30</v>
      </c>
      <c r="D22" s="73"/>
      <c r="E22" s="88">
        <v>57</v>
      </c>
      <c r="F22" s="92" t="s">
        <v>35</v>
      </c>
      <c r="G22" s="76">
        <v>1739.5</v>
      </c>
      <c r="H22" s="76"/>
      <c r="I22" s="76"/>
      <c r="J22" s="76">
        <f>200</f>
        <v>200</v>
      </c>
      <c r="K22" s="76"/>
      <c r="L22" s="76">
        <f t="shared" si="5"/>
        <v>0</v>
      </c>
      <c r="M22" s="76">
        <v>78.25</v>
      </c>
      <c r="N22" s="76">
        <v>78.25</v>
      </c>
      <c r="O22" s="76"/>
      <c r="P22" s="76">
        <v>106.92</v>
      </c>
      <c r="Q22" s="76">
        <v>38.299999999999997</v>
      </c>
      <c r="R22" s="76"/>
      <c r="S22" s="76"/>
      <c r="T22" s="78">
        <f t="shared" si="1"/>
        <v>2241.2200000000003</v>
      </c>
      <c r="U22" s="90"/>
      <c r="V22" s="91">
        <v>32.369999999999997</v>
      </c>
      <c r="W22" s="91">
        <v>13.04</v>
      </c>
      <c r="X22" s="91"/>
      <c r="Y22" s="91"/>
      <c r="Z22" s="91">
        <v>402.61</v>
      </c>
      <c r="AA22" s="78">
        <f t="shared" si="2"/>
        <v>448.02</v>
      </c>
      <c r="AB22" s="78">
        <f t="shared" si="6"/>
        <v>1793.2000000000003</v>
      </c>
      <c r="AC22" s="100"/>
      <c r="AD22" s="100"/>
    </row>
    <row r="23" spans="1:30" ht="14.45" x14ac:dyDescent="0.3">
      <c r="A23" s="87" t="s">
        <v>24</v>
      </c>
      <c r="B23" s="73" t="s">
        <v>3</v>
      </c>
      <c r="C23" s="73" t="s">
        <v>30</v>
      </c>
      <c r="D23" s="73"/>
      <c r="E23" s="88">
        <v>64</v>
      </c>
      <c r="F23" s="92" t="s">
        <v>36</v>
      </c>
      <c r="G23" s="76">
        <f>3385.17</f>
        <v>3385.17</v>
      </c>
      <c r="H23" s="76">
        <f>G23/15</f>
        <v>225.678</v>
      </c>
      <c r="I23" s="76">
        <f>H23</f>
        <v>225.678</v>
      </c>
      <c r="J23" s="76">
        <v>90.53</v>
      </c>
      <c r="K23" s="76"/>
      <c r="L23" s="76">
        <f t="shared" si="5"/>
        <v>88.85</v>
      </c>
      <c r="M23" s="76">
        <v>175.86</v>
      </c>
      <c r="N23" s="76">
        <v>175.86</v>
      </c>
      <c r="O23" s="76"/>
      <c r="P23" s="76">
        <v>99</v>
      </c>
      <c r="Q23" s="76"/>
      <c r="R23" s="76"/>
      <c r="S23" s="76"/>
      <c r="T23" s="78">
        <f t="shared" si="1"/>
        <v>4466.6259999999993</v>
      </c>
      <c r="U23" s="90">
        <v>351.53</v>
      </c>
      <c r="V23" s="91">
        <v>92.41</v>
      </c>
      <c r="W23" s="91">
        <v>29.31</v>
      </c>
      <c r="X23" s="91"/>
      <c r="Y23" s="91"/>
      <c r="Z23" s="91">
        <v>649.38</v>
      </c>
      <c r="AA23" s="78">
        <f t="shared" si="2"/>
        <v>1122.6299999999999</v>
      </c>
      <c r="AB23" s="78">
        <f t="shared" si="6"/>
        <v>3343.9959999999992</v>
      </c>
      <c r="AC23" s="80">
        <f>88.85</f>
        <v>88.85</v>
      </c>
      <c r="AD23" s="80"/>
    </row>
    <row r="24" spans="1:30" ht="14.45" x14ac:dyDescent="0.3">
      <c r="A24" s="87" t="s">
        <v>24</v>
      </c>
      <c r="B24" s="73" t="s">
        <v>20</v>
      </c>
      <c r="C24" s="73" t="s">
        <v>25</v>
      </c>
      <c r="D24" s="73"/>
      <c r="E24" s="88">
        <v>69</v>
      </c>
      <c r="F24" s="92" t="s">
        <v>37</v>
      </c>
      <c r="G24" s="76">
        <v>2126.12</v>
      </c>
      <c r="H24" s="76"/>
      <c r="I24" s="76">
        <f>H24</f>
        <v>0</v>
      </c>
      <c r="J24" s="76">
        <v>188.44</v>
      </c>
      <c r="K24" s="76"/>
      <c r="L24" s="76">
        <f t="shared" si="5"/>
        <v>207.28</v>
      </c>
      <c r="M24" s="76">
        <v>122.66</v>
      </c>
      <c r="N24" s="76">
        <v>122.66</v>
      </c>
      <c r="O24" s="76"/>
      <c r="P24" s="76">
        <v>97.2</v>
      </c>
      <c r="Q24" s="76"/>
      <c r="R24" s="76"/>
      <c r="S24" s="76">
        <f>Q24*0.25</f>
        <v>0</v>
      </c>
      <c r="T24" s="78">
        <f t="shared" si="1"/>
        <v>2864.3599999999997</v>
      </c>
      <c r="U24" s="90">
        <v>62.21</v>
      </c>
      <c r="V24" s="91">
        <v>51.86</v>
      </c>
      <c r="W24" s="91"/>
      <c r="X24" s="91"/>
      <c r="Y24" s="91"/>
      <c r="Z24" s="91"/>
      <c r="AA24" s="78">
        <f t="shared" si="2"/>
        <v>114.07</v>
      </c>
      <c r="AB24" s="78">
        <f t="shared" si="6"/>
        <v>2750.2899999999995</v>
      </c>
      <c r="AC24" s="100">
        <v>207.28</v>
      </c>
      <c r="AD24" s="100"/>
    </row>
    <row r="25" spans="1:30" ht="14.45" x14ac:dyDescent="0.3">
      <c r="A25" s="87" t="s">
        <v>24</v>
      </c>
      <c r="B25" s="73" t="s">
        <v>3</v>
      </c>
      <c r="C25" s="73" t="s">
        <v>15</v>
      </c>
      <c r="D25" s="73"/>
      <c r="E25" s="88">
        <v>81</v>
      </c>
      <c r="F25" s="92" t="s">
        <v>38</v>
      </c>
      <c r="G25" s="76">
        <v>2549.1999999999998</v>
      </c>
      <c r="H25" s="76"/>
      <c r="I25" s="76">
        <f>H25</f>
        <v>0</v>
      </c>
      <c r="J25" s="76">
        <v>166.21</v>
      </c>
      <c r="K25" s="76"/>
      <c r="L25" s="76">
        <f t="shared" si="5"/>
        <v>222.31</v>
      </c>
      <c r="M25" s="76">
        <v>206.9</v>
      </c>
      <c r="N25" s="76">
        <v>206.9</v>
      </c>
      <c r="O25" s="76"/>
      <c r="P25" s="76">
        <v>194.4</v>
      </c>
      <c r="Q25" s="76"/>
      <c r="R25" s="76"/>
      <c r="S25" s="76"/>
      <c r="T25" s="78">
        <f t="shared" si="1"/>
        <v>3545.92</v>
      </c>
      <c r="U25" s="90">
        <v>174.31</v>
      </c>
      <c r="V25" s="91">
        <v>53</v>
      </c>
      <c r="W25" s="91">
        <v>20.69</v>
      </c>
      <c r="X25" s="91"/>
      <c r="Y25" s="91">
        <v>698.5</v>
      </c>
      <c r="Z25" s="91"/>
      <c r="AA25" s="78">
        <f t="shared" si="2"/>
        <v>946.5</v>
      </c>
      <c r="AB25" s="78">
        <f t="shared" si="6"/>
        <v>2599.42</v>
      </c>
      <c r="AC25" s="80">
        <f>222.31</f>
        <v>222.31</v>
      </c>
      <c r="AD25" s="80"/>
    </row>
    <row r="26" spans="1:30" ht="14.45" x14ac:dyDescent="0.3">
      <c r="A26" s="87" t="s">
        <v>24</v>
      </c>
      <c r="B26" s="73" t="s">
        <v>20</v>
      </c>
      <c r="C26" s="73" t="s">
        <v>39</v>
      </c>
      <c r="D26" s="73"/>
      <c r="E26" s="88">
        <v>106</v>
      </c>
      <c r="F26" s="92" t="s">
        <v>40</v>
      </c>
      <c r="G26" s="76">
        <v>5719.9</v>
      </c>
      <c r="H26" s="76">
        <f>G26/15</f>
        <v>381.32666666666665</v>
      </c>
      <c r="I26" s="76">
        <f>H26</f>
        <v>381.32666666666665</v>
      </c>
      <c r="J26" s="76" t="s">
        <v>274</v>
      </c>
      <c r="K26" s="76"/>
      <c r="L26" s="76">
        <f t="shared" si="5"/>
        <v>4100</v>
      </c>
      <c r="M26" s="76" t="s">
        <v>274</v>
      </c>
      <c r="N26" s="76" t="s">
        <v>274</v>
      </c>
      <c r="O26" s="76"/>
      <c r="P26" s="76">
        <v>198.01</v>
      </c>
      <c r="Q26" s="76"/>
      <c r="R26" s="76"/>
      <c r="S26" s="76"/>
      <c r="T26" s="78">
        <f t="shared" si="1"/>
        <v>10780.563333333334</v>
      </c>
      <c r="U26" s="90">
        <v>1766.9</v>
      </c>
      <c r="V26" s="91">
        <v>198.99</v>
      </c>
      <c r="W26" s="91"/>
      <c r="X26" s="91"/>
      <c r="Y26" s="91">
        <v>1240.3399999999999</v>
      </c>
      <c r="Z26" s="91"/>
      <c r="AA26" s="78">
        <f t="shared" si="2"/>
        <v>3206.23</v>
      </c>
      <c r="AB26" s="78">
        <f t="shared" si="6"/>
        <v>7574.3333333333339</v>
      </c>
      <c r="AC26" s="80">
        <v>4100</v>
      </c>
      <c r="AD26" s="80"/>
    </row>
    <row r="27" spans="1:30" ht="14.45" x14ac:dyDescent="0.3">
      <c r="A27" s="87" t="s">
        <v>24</v>
      </c>
      <c r="B27" s="73" t="s">
        <v>3</v>
      </c>
      <c r="C27" s="73" t="s">
        <v>30</v>
      </c>
      <c r="D27" s="73"/>
      <c r="E27" s="88">
        <v>108</v>
      </c>
      <c r="F27" s="92" t="s">
        <v>41</v>
      </c>
      <c r="G27" s="76">
        <v>1917.3400000000001</v>
      </c>
      <c r="H27" s="76"/>
      <c r="I27" s="76">
        <f t="shared" ref="I27:I28" si="8">H27</f>
        <v>0</v>
      </c>
      <c r="J27" s="76">
        <v>99.51</v>
      </c>
      <c r="K27" s="76"/>
      <c r="L27" s="76">
        <f t="shared" si="5"/>
        <v>970</v>
      </c>
      <c r="M27" s="76">
        <v>158.34</v>
      </c>
      <c r="N27" s="76">
        <v>158.34</v>
      </c>
      <c r="O27" s="76"/>
      <c r="P27" s="76">
        <v>106.92</v>
      </c>
      <c r="Q27" s="76"/>
      <c r="R27" s="76"/>
      <c r="S27" s="76"/>
      <c r="T27" s="78">
        <f t="shared" si="1"/>
        <v>3410.4500000000007</v>
      </c>
      <c r="U27" s="90">
        <v>141.87</v>
      </c>
      <c r="V27" s="91">
        <v>39.31</v>
      </c>
      <c r="W27" s="91">
        <v>15.83</v>
      </c>
      <c r="X27" s="91"/>
      <c r="Y27" s="91"/>
      <c r="Z27" s="91"/>
      <c r="AA27" s="78">
        <f t="shared" si="2"/>
        <v>197.01000000000002</v>
      </c>
      <c r="AB27" s="78">
        <f t="shared" si="6"/>
        <v>3213.4400000000005</v>
      </c>
      <c r="AC27" s="80">
        <v>970</v>
      </c>
      <c r="AD27" s="80"/>
    </row>
    <row r="28" spans="1:30" ht="14.45" x14ac:dyDescent="0.3">
      <c r="A28" s="87" t="s">
        <v>24</v>
      </c>
      <c r="B28" s="73" t="s">
        <v>3</v>
      </c>
      <c r="C28" s="73" t="s">
        <v>42</v>
      </c>
      <c r="D28" s="73"/>
      <c r="E28" s="88">
        <v>129</v>
      </c>
      <c r="F28" s="92" t="s">
        <v>43</v>
      </c>
      <c r="G28" s="76">
        <v>5885.07</v>
      </c>
      <c r="H28" s="76">
        <f>G28/15</f>
        <v>392.33799999999997</v>
      </c>
      <c r="I28" s="76">
        <f t="shared" si="8"/>
        <v>392.33799999999997</v>
      </c>
      <c r="J28" s="76">
        <v>0</v>
      </c>
      <c r="K28" s="76"/>
      <c r="L28" s="76">
        <f t="shared" si="5"/>
        <v>500</v>
      </c>
      <c r="M28" s="76">
        <v>399.39</v>
      </c>
      <c r="N28" s="76">
        <v>399.39</v>
      </c>
      <c r="O28" s="76"/>
      <c r="P28" s="76">
        <v>100</v>
      </c>
      <c r="Q28" s="76"/>
      <c r="R28" s="76"/>
      <c r="S28" s="76"/>
      <c r="T28" s="78">
        <f t="shared" si="1"/>
        <v>8068.5259999999998</v>
      </c>
      <c r="U28" s="90">
        <v>1176.25</v>
      </c>
      <c r="V28" s="91">
        <v>141.01</v>
      </c>
      <c r="W28" s="91">
        <v>40</v>
      </c>
      <c r="X28" s="91"/>
      <c r="Y28" s="91"/>
      <c r="Z28" s="91"/>
      <c r="AA28" s="78">
        <f t="shared" si="2"/>
        <v>1357.26</v>
      </c>
      <c r="AB28" s="78">
        <f t="shared" si="6"/>
        <v>6711.2659999999996</v>
      </c>
      <c r="AC28" s="80">
        <v>500</v>
      </c>
      <c r="AD28" s="80"/>
    </row>
    <row r="29" spans="1:30" ht="10.5" customHeight="1" x14ac:dyDescent="0.3">
      <c r="A29" s="95" t="s">
        <v>44</v>
      </c>
      <c r="B29" s="73" t="s">
        <v>3</v>
      </c>
      <c r="C29" s="73" t="s">
        <v>45</v>
      </c>
      <c r="D29" s="73"/>
      <c r="E29" s="88">
        <v>42</v>
      </c>
      <c r="F29" s="93" t="s">
        <v>46</v>
      </c>
      <c r="G29" s="97">
        <v>1444.32</v>
      </c>
      <c r="H29" s="76"/>
      <c r="I29" s="76"/>
      <c r="J29" s="76">
        <v>82.3</v>
      </c>
      <c r="K29" s="76"/>
      <c r="L29" s="76">
        <v>541.12</v>
      </c>
      <c r="M29" s="76">
        <v>72.52</v>
      </c>
      <c r="N29" s="76">
        <v>72.52</v>
      </c>
      <c r="O29" s="107"/>
      <c r="P29" s="76">
        <v>106.92</v>
      </c>
      <c r="Q29" s="76">
        <v>1.5</v>
      </c>
      <c r="R29" s="91"/>
      <c r="S29" s="91"/>
      <c r="T29" s="78">
        <v>2321.1999999999998</v>
      </c>
      <c r="U29" s="91"/>
      <c r="V29" s="91">
        <v>30.01</v>
      </c>
      <c r="W29" s="86">
        <v>12.08</v>
      </c>
      <c r="X29" s="91"/>
      <c r="Y29" s="91">
        <v>315.89999999999998</v>
      </c>
      <c r="Z29" s="78">
        <v>586.33000000000004</v>
      </c>
      <c r="AA29" s="78">
        <v>944.32</v>
      </c>
      <c r="AB29" s="78">
        <v>1376.8799999999997</v>
      </c>
      <c r="AC29" s="80">
        <v>541.12</v>
      </c>
      <c r="AD29" s="80"/>
    </row>
    <row r="30" spans="1:30" ht="10.5" customHeight="1" x14ac:dyDescent="0.3">
      <c r="A30" s="95" t="s">
        <v>44</v>
      </c>
      <c r="B30" s="73" t="s">
        <v>3</v>
      </c>
      <c r="C30" s="73" t="s">
        <v>25</v>
      </c>
      <c r="D30" s="73"/>
      <c r="E30" s="88">
        <v>54</v>
      </c>
      <c r="F30" s="93" t="s">
        <v>47</v>
      </c>
      <c r="G30" s="97">
        <v>1453.03</v>
      </c>
      <c r="H30" s="76"/>
      <c r="I30" s="76"/>
      <c r="J30" s="76">
        <v>90.53</v>
      </c>
      <c r="K30" s="76"/>
      <c r="L30" s="76">
        <v>216</v>
      </c>
      <c r="M30" s="76">
        <v>74.09</v>
      </c>
      <c r="N30" s="76">
        <v>74.09</v>
      </c>
      <c r="O30" s="108">
        <v>193.73733333333334</v>
      </c>
      <c r="P30" s="76">
        <v>106.92</v>
      </c>
      <c r="Q30" s="76">
        <v>31.64</v>
      </c>
      <c r="R30" s="91"/>
      <c r="S30" s="91"/>
      <c r="T30" s="78">
        <v>2240.0373333333332</v>
      </c>
      <c r="U30" s="91"/>
      <c r="V30" s="91">
        <v>30.66</v>
      </c>
      <c r="W30" s="91">
        <v>12.35</v>
      </c>
      <c r="X30" s="91"/>
      <c r="Y30" s="91"/>
      <c r="Z30" s="78"/>
      <c r="AA30" s="78">
        <v>43.01</v>
      </c>
      <c r="AB30" s="78">
        <v>2197.027333333333</v>
      </c>
      <c r="AC30" s="80">
        <v>216</v>
      </c>
      <c r="AD30" s="80"/>
    </row>
    <row r="31" spans="1:30" ht="10.5" customHeight="1" x14ac:dyDescent="0.3">
      <c r="A31" s="95" t="s">
        <v>44</v>
      </c>
      <c r="B31" s="73" t="s">
        <v>3</v>
      </c>
      <c r="C31" s="73" t="s">
        <v>30</v>
      </c>
      <c r="D31" s="73"/>
      <c r="E31" s="88">
        <v>59</v>
      </c>
      <c r="F31" s="93" t="s">
        <v>48</v>
      </c>
      <c r="G31" s="97">
        <v>1531.02</v>
      </c>
      <c r="H31" s="76"/>
      <c r="I31" s="76"/>
      <c r="J31" s="76">
        <v>105.16</v>
      </c>
      <c r="K31" s="76"/>
      <c r="L31" s="76">
        <v>87.29</v>
      </c>
      <c r="M31" s="76">
        <v>78.56</v>
      </c>
      <c r="N31" s="76">
        <v>78.56</v>
      </c>
      <c r="O31" s="107"/>
      <c r="P31" s="76">
        <v>106.92</v>
      </c>
      <c r="Q31" s="76">
        <v>59.14</v>
      </c>
      <c r="R31" s="91"/>
      <c r="S31" s="91"/>
      <c r="T31" s="78">
        <v>2046.65</v>
      </c>
      <c r="U31" s="91"/>
      <c r="V31" s="91">
        <v>32.5</v>
      </c>
      <c r="W31" s="109">
        <v>13.09</v>
      </c>
      <c r="X31" s="91"/>
      <c r="Y31" s="91"/>
      <c r="Z31" s="78">
        <v>242.48</v>
      </c>
      <c r="AA31" s="78">
        <v>288.07</v>
      </c>
      <c r="AB31" s="78">
        <v>1758.5800000000002</v>
      </c>
      <c r="AC31" s="80">
        <v>87.29</v>
      </c>
      <c r="AD31" s="80"/>
    </row>
    <row r="32" spans="1:30" ht="10.5" customHeight="1" x14ac:dyDescent="0.3">
      <c r="A32" s="110" t="s">
        <v>44</v>
      </c>
      <c r="B32" s="73" t="s">
        <v>20</v>
      </c>
      <c r="C32" s="73" t="s">
        <v>30</v>
      </c>
      <c r="D32" s="73"/>
      <c r="E32" s="111">
        <v>61</v>
      </c>
      <c r="F32" s="112" t="s">
        <v>49</v>
      </c>
      <c r="G32" s="113">
        <v>992.21</v>
      </c>
      <c r="H32" s="108"/>
      <c r="I32" s="108"/>
      <c r="J32" s="108">
        <v>82.3</v>
      </c>
      <c r="K32" s="76"/>
      <c r="L32" s="76">
        <v>259.3</v>
      </c>
      <c r="M32" s="108">
        <v>55.64</v>
      </c>
      <c r="N32" s="108">
        <v>55.64</v>
      </c>
      <c r="O32" s="107"/>
      <c r="P32" s="108">
        <v>97.2</v>
      </c>
      <c r="Q32" s="108">
        <v>104.16</v>
      </c>
      <c r="R32" s="90"/>
      <c r="S32" s="90"/>
      <c r="T32" s="78">
        <v>1646.4500000000003</v>
      </c>
      <c r="U32" s="90"/>
      <c r="V32" s="90">
        <v>23.01</v>
      </c>
      <c r="W32" s="109"/>
      <c r="X32" s="90"/>
      <c r="Y32" s="90"/>
      <c r="Z32" s="78"/>
      <c r="AA32" s="78">
        <v>23.01</v>
      </c>
      <c r="AB32" s="78">
        <v>1623.4400000000003</v>
      </c>
      <c r="AC32" s="114">
        <v>259.3</v>
      </c>
      <c r="AD32" s="114"/>
    </row>
    <row r="33" spans="1:30" ht="10.5" customHeight="1" x14ac:dyDescent="0.3">
      <c r="A33" s="95" t="s">
        <v>44</v>
      </c>
      <c r="B33" s="73" t="s">
        <v>3</v>
      </c>
      <c r="C33" s="73" t="s">
        <v>50</v>
      </c>
      <c r="D33" s="73"/>
      <c r="E33" s="88">
        <v>124</v>
      </c>
      <c r="F33" s="93" t="s">
        <v>51</v>
      </c>
      <c r="G33" s="97">
        <v>2801.83</v>
      </c>
      <c r="H33" s="76"/>
      <c r="I33" s="76"/>
      <c r="J33" s="76">
        <v>124</v>
      </c>
      <c r="K33" s="76"/>
      <c r="L33" s="76">
        <v>305</v>
      </c>
      <c r="M33" s="76">
        <v>239.18</v>
      </c>
      <c r="N33" s="76">
        <v>239.18</v>
      </c>
      <c r="O33" s="108">
        <v>373.57733333333334</v>
      </c>
      <c r="P33" s="76"/>
      <c r="Q33" s="76"/>
      <c r="R33" s="91"/>
      <c r="S33" s="91"/>
      <c r="T33" s="78">
        <v>4082.7673333333328</v>
      </c>
      <c r="U33" s="91">
        <v>392.61</v>
      </c>
      <c r="V33" s="91">
        <v>67.739999999999995</v>
      </c>
      <c r="W33" s="109">
        <v>40</v>
      </c>
      <c r="X33" s="91"/>
      <c r="Y33" s="91"/>
      <c r="Z33" s="78">
        <v>674.38</v>
      </c>
      <c r="AA33" s="78">
        <v>1174.73</v>
      </c>
      <c r="AB33" s="78">
        <v>2908.0373333333328</v>
      </c>
      <c r="AC33" s="80">
        <v>305</v>
      </c>
      <c r="AD33" s="80"/>
    </row>
    <row r="34" spans="1:30" ht="10.5" customHeight="1" x14ac:dyDescent="0.3">
      <c r="A34" s="95" t="s">
        <v>44</v>
      </c>
      <c r="B34" s="73" t="s">
        <v>20</v>
      </c>
      <c r="C34" s="73" t="s">
        <v>52</v>
      </c>
      <c r="D34" s="73"/>
      <c r="E34" s="88">
        <v>126</v>
      </c>
      <c r="F34" s="93" t="s">
        <v>53</v>
      </c>
      <c r="G34" s="97">
        <v>2887.42</v>
      </c>
      <c r="H34" s="76"/>
      <c r="I34" s="76"/>
      <c r="J34" s="76">
        <v>124</v>
      </c>
      <c r="K34" s="76"/>
      <c r="L34" s="76">
        <v>305</v>
      </c>
      <c r="M34" s="76">
        <v>239.18</v>
      </c>
      <c r="N34" s="76">
        <v>239.18</v>
      </c>
      <c r="O34" s="108">
        <v>384.98933333333332</v>
      </c>
      <c r="P34" s="76"/>
      <c r="Q34" s="76"/>
      <c r="R34" s="91"/>
      <c r="S34" s="91"/>
      <c r="T34" s="78">
        <v>4179.7693333333327</v>
      </c>
      <c r="U34" s="91">
        <v>591.30999999999995</v>
      </c>
      <c r="V34" s="91">
        <v>67.739999999999995</v>
      </c>
      <c r="W34" s="109"/>
      <c r="X34" s="91"/>
      <c r="Y34" s="91"/>
      <c r="Z34" s="78"/>
      <c r="AA34" s="78">
        <v>659.05</v>
      </c>
      <c r="AB34" s="78">
        <v>3520.7193333333325</v>
      </c>
      <c r="AC34" s="80">
        <v>305</v>
      </c>
      <c r="AD34" s="80"/>
    </row>
    <row r="35" spans="1:30" ht="10.5" customHeight="1" x14ac:dyDescent="0.3">
      <c r="A35" s="95" t="s">
        <v>44</v>
      </c>
      <c r="B35" s="73" t="s">
        <v>20</v>
      </c>
      <c r="C35" s="73" t="s">
        <v>52</v>
      </c>
      <c r="D35" s="73"/>
      <c r="E35" s="111">
        <v>116</v>
      </c>
      <c r="F35" s="115" t="s">
        <v>54</v>
      </c>
      <c r="G35" s="108">
        <v>2218.63</v>
      </c>
      <c r="H35" s="108"/>
      <c r="I35" s="108">
        <v>0</v>
      </c>
      <c r="J35" s="108"/>
      <c r="K35" s="76"/>
      <c r="L35" s="76">
        <v>305</v>
      </c>
      <c r="M35" s="108">
        <v>213.33</v>
      </c>
      <c r="N35" s="108">
        <v>213.33</v>
      </c>
      <c r="O35" s="108">
        <v>295.81733333333335</v>
      </c>
      <c r="P35" s="108">
        <v>97.2</v>
      </c>
      <c r="Q35" s="108"/>
      <c r="R35" s="90"/>
      <c r="S35" s="90"/>
      <c r="T35" s="78">
        <v>3343.3073333333332</v>
      </c>
      <c r="U35" s="90">
        <v>150.66</v>
      </c>
      <c r="V35" s="90">
        <v>55.93</v>
      </c>
      <c r="W35" s="109"/>
      <c r="X35" s="90">
        <v>500</v>
      </c>
      <c r="Y35" s="90"/>
      <c r="Z35" s="78">
        <v>597.29999999999995</v>
      </c>
      <c r="AA35" s="78">
        <v>1303.8899999999999</v>
      </c>
      <c r="AB35" s="78">
        <v>2039.4173333333333</v>
      </c>
      <c r="AC35" s="80">
        <v>305</v>
      </c>
      <c r="AD35" s="80"/>
    </row>
    <row r="38" spans="1:30" ht="14.45" x14ac:dyDescent="0.3">
      <c r="B38" s="106"/>
      <c r="C38" s="106"/>
      <c r="D38" s="106"/>
    </row>
  </sheetData>
  <pageMargins left="0.62992125984251968" right="3.937007874015748E-2" top="0.74803149606299213" bottom="0.74803149606299213" header="0.31496062992125984" footer="0.31496062992125984"/>
  <pageSetup paperSize="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98"/>
  <sheetViews>
    <sheetView topLeftCell="E46" zoomScaleNormal="100" workbookViewId="0">
      <selection activeCell="P64" sqref="P64"/>
    </sheetView>
  </sheetViews>
  <sheetFormatPr baseColWidth="10" defaultRowHeight="15" x14ac:dyDescent="0.25"/>
  <cols>
    <col min="1" max="1" width="12.42578125" style="2" hidden="1" customWidth="1"/>
    <col min="2" max="2" width="10.85546875" style="2" hidden="1" customWidth="1"/>
    <col min="3" max="3" width="30.42578125" style="2" hidden="1" customWidth="1"/>
    <col min="4" max="4" width="13" style="2" hidden="1" customWidth="1"/>
    <col min="5" max="5" width="4.140625" style="2" bestFit="1" customWidth="1"/>
    <col min="6" max="6" width="30.140625" style="2" customWidth="1"/>
    <col min="7" max="7" width="6.28515625" style="43" customWidth="1"/>
    <col min="8" max="8" width="7.7109375" style="43" bestFit="1" customWidth="1"/>
    <col min="9" max="9" width="5.85546875" style="43" customWidth="1"/>
    <col min="10" max="10" width="7.28515625" style="43" customWidth="1"/>
    <col min="11" max="11" width="6.28515625" style="43" bestFit="1" customWidth="1"/>
    <col min="12" max="12" width="10.85546875" style="43" customWidth="1"/>
    <col min="13" max="13" width="8.7109375" style="43" bestFit="1" customWidth="1"/>
    <col min="14" max="14" width="9.7109375" style="43" customWidth="1"/>
    <col min="15" max="15" width="9.85546875" style="43" customWidth="1"/>
    <col min="16" max="17" width="7" style="43" bestFit="1" customWidth="1"/>
    <col min="18" max="18" width="7" style="186" customWidth="1"/>
    <col min="19" max="19" width="7.5703125" style="186" bestFit="1" customWidth="1"/>
    <col min="20" max="21" width="7" style="43" bestFit="1" customWidth="1"/>
    <col min="22" max="22" width="9.7109375" style="43" customWidth="1"/>
    <col min="23" max="23" width="7.7109375" style="43" bestFit="1" customWidth="1"/>
    <col min="24" max="24" width="13.140625" style="2" hidden="1" customWidth="1"/>
    <col min="25" max="25" width="18.7109375" style="2" hidden="1" customWidth="1"/>
    <col min="26" max="26" width="11.5703125" style="118"/>
  </cols>
  <sheetData>
    <row r="1" spans="1:26" ht="8.25" customHeight="1" x14ac:dyDescent="0.3">
      <c r="A1" s="1"/>
      <c r="B1" s="1"/>
      <c r="C1" s="1"/>
      <c r="D1" s="1"/>
      <c r="F1" s="116"/>
      <c r="G1" s="116"/>
      <c r="H1" s="116"/>
      <c r="I1" s="117"/>
      <c r="J1" s="116" t="s">
        <v>277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6" ht="8.25" customHeight="1" x14ac:dyDescent="0.3">
      <c r="A2" s="1"/>
      <c r="B2" s="1"/>
      <c r="C2" s="1"/>
      <c r="D2" s="1"/>
      <c r="F2" s="116"/>
      <c r="G2" s="116"/>
      <c r="H2" s="116"/>
      <c r="I2" s="117"/>
      <c r="J2" s="116" t="s">
        <v>278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6" s="65" customFormat="1" ht="8.25" customHeight="1" thickBot="1" x14ac:dyDescent="0.35">
      <c r="A3" s="54"/>
      <c r="B3" s="54"/>
      <c r="C3" s="54"/>
      <c r="D3" s="54"/>
      <c r="E3" s="119"/>
      <c r="F3" s="119"/>
      <c r="G3" s="119"/>
      <c r="H3" s="119">
        <v>12201</v>
      </c>
      <c r="I3" s="119">
        <v>15404</v>
      </c>
      <c r="J3" s="119">
        <v>15406</v>
      </c>
      <c r="K3" s="119">
        <v>13301</v>
      </c>
      <c r="L3" s="119">
        <v>15901</v>
      </c>
      <c r="M3" s="119">
        <v>13204</v>
      </c>
      <c r="N3" s="119">
        <v>13204</v>
      </c>
      <c r="O3" s="119"/>
      <c r="P3" s="120">
        <v>2111.1</v>
      </c>
      <c r="Q3" s="121">
        <v>52010304</v>
      </c>
      <c r="R3" s="119">
        <v>52010102</v>
      </c>
      <c r="S3" s="119"/>
      <c r="T3" s="119">
        <v>52010305</v>
      </c>
      <c r="U3" s="122">
        <v>52010501</v>
      </c>
      <c r="V3" s="119"/>
      <c r="W3" s="119"/>
      <c r="X3" s="119"/>
      <c r="Y3" s="119"/>
    </row>
    <row r="4" spans="1:26" ht="20.25" customHeight="1" thickBot="1" x14ac:dyDescent="0.35">
      <c r="A4" s="123" t="s">
        <v>279</v>
      </c>
      <c r="B4" s="67" t="s">
        <v>249</v>
      </c>
      <c r="C4" s="67" t="s">
        <v>250</v>
      </c>
      <c r="D4" s="67" t="s">
        <v>251</v>
      </c>
      <c r="E4" s="124" t="s">
        <v>0</v>
      </c>
      <c r="F4" s="125" t="s">
        <v>280</v>
      </c>
      <c r="G4" s="126" t="s">
        <v>281</v>
      </c>
      <c r="H4" s="126" t="s">
        <v>254</v>
      </c>
      <c r="I4" s="126" t="s">
        <v>257</v>
      </c>
      <c r="J4" s="126" t="s">
        <v>261</v>
      </c>
      <c r="K4" s="126" t="s">
        <v>282</v>
      </c>
      <c r="L4" s="126" t="s">
        <v>283</v>
      </c>
      <c r="M4" s="127" t="s">
        <v>264</v>
      </c>
      <c r="N4" s="126" t="s">
        <v>265</v>
      </c>
      <c r="O4" s="126" t="s">
        <v>55</v>
      </c>
      <c r="P4" s="126" t="s">
        <v>1</v>
      </c>
      <c r="Q4" s="126" t="s">
        <v>284</v>
      </c>
      <c r="R4" s="128" t="s">
        <v>56</v>
      </c>
      <c r="S4" s="129" t="s">
        <v>270</v>
      </c>
      <c r="T4" s="126" t="s">
        <v>285</v>
      </c>
      <c r="U4" s="126" t="s">
        <v>286</v>
      </c>
      <c r="V4" s="126" t="s">
        <v>272</v>
      </c>
      <c r="W4" s="126" t="s">
        <v>273</v>
      </c>
      <c r="X4" s="126" t="s">
        <v>287</v>
      </c>
      <c r="Y4" s="126" t="s">
        <v>288</v>
      </c>
    </row>
    <row r="5" spans="1:26" s="137" customFormat="1" ht="14.45" x14ac:dyDescent="0.3">
      <c r="A5" s="3" t="s">
        <v>57</v>
      </c>
      <c r="B5" s="73" t="s">
        <v>58</v>
      </c>
      <c r="C5" s="73" t="s">
        <v>52</v>
      </c>
      <c r="D5" s="73"/>
      <c r="E5" s="130">
        <v>1</v>
      </c>
      <c r="F5" s="131" t="s">
        <v>59</v>
      </c>
      <c r="G5" s="131">
        <v>204.29</v>
      </c>
      <c r="H5" s="132">
        <v>3064.35</v>
      </c>
      <c r="I5" s="131"/>
      <c r="J5" s="131"/>
      <c r="K5" s="131">
        <v>817.16</v>
      </c>
      <c r="L5" s="131">
        <v>770</v>
      </c>
      <c r="M5" s="132"/>
      <c r="N5" s="132"/>
      <c r="O5" s="132">
        <v>4651.51</v>
      </c>
      <c r="P5" s="131">
        <v>461.06</v>
      </c>
      <c r="Q5" s="133"/>
      <c r="R5" s="134"/>
      <c r="S5" s="134"/>
      <c r="T5" s="131"/>
      <c r="U5" s="131"/>
      <c r="V5" s="132">
        <v>461.06</v>
      </c>
      <c r="W5" s="135">
        <v>4190.45</v>
      </c>
      <c r="X5" s="131">
        <v>670</v>
      </c>
      <c r="Y5" s="131"/>
      <c r="Z5" s="136"/>
    </row>
    <row r="6" spans="1:26" s="137" customFormat="1" x14ac:dyDescent="0.25">
      <c r="A6" s="4" t="s">
        <v>57</v>
      </c>
      <c r="B6" s="73" t="s">
        <v>58</v>
      </c>
      <c r="C6" s="73" t="s">
        <v>60</v>
      </c>
      <c r="D6" s="73"/>
      <c r="E6" s="130">
        <v>2</v>
      </c>
      <c r="F6" s="131" t="s">
        <v>61</v>
      </c>
      <c r="G6" s="131">
        <v>111.56</v>
      </c>
      <c r="H6" s="132">
        <v>1673.4</v>
      </c>
      <c r="I6" s="131"/>
      <c r="J6" s="131">
        <v>111.56</v>
      </c>
      <c r="K6" s="131">
        <v>334.68</v>
      </c>
      <c r="L6" s="131">
        <v>100</v>
      </c>
      <c r="M6" s="132"/>
      <c r="N6" s="131"/>
      <c r="O6" s="132">
        <v>2219.64</v>
      </c>
      <c r="P6" s="131">
        <v>137.41</v>
      </c>
      <c r="Q6" s="133">
        <v>250</v>
      </c>
      <c r="R6" s="134">
        <v>40.229999999999997</v>
      </c>
      <c r="S6" s="134"/>
      <c r="T6" s="131"/>
      <c r="U6" s="131"/>
      <c r="V6" s="132">
        <v>427.64</v>
      </c>
      <c r="W6" s="135">
        <v>1792</v>
      </c>
      <c r="X6" s="131">
        <v>100</v>
      </c>
      <c r="Y6" s="131"/>
      <c r="Z6" s="136"/>
    </row>
    <row r="7" spans="1:26" s="137" customFormat="1" ht="14.45" x14ac:dyDescent="0.3">
      <c r="A7" s="4" t="s">
        <v>57</v>
      </c>
      <c r="B7" s="73" t="s">
        <v>58</v>
      </c>
      <c r="C7" s="138" t="s">
        <v>62</v>
      </c>
      <c r="D7" s="73"/>
      <c r="E7" s="130">
        <v>3</v>
      </c>
      <c r="F7" s="139" t="s">
        <v>63</v>
      </c>
      <c r="G7" s="132">
        <v>226.66</v>
      </c>
      <c r="H7" s="132">
        <v>3399.9</v>
      </c>
      <c r="I7" s="131"/>
      <c r="J7" s="132"/>
      <c r="K7" s="132"/>
      <c r="L7" s="131">
        <v>500</v>
      </c>
      <c r="M7" s="132"/>
      <c r="N7" s="132"/>
      <c r="O7" s="132">
        <v>3899.9</v>
      </c>
      <c r="P7" s="131">
        <v>333.07</v>
      </c>
      <c r="Q7" s="131">
        <v>165</v>
      </c>
      <c r="R7" s="134">
        <v>46.88</v>
      </c>
      <c r="S7" s="134"/>
      <c r="T7" s="131"/>
      <c r="U7" s="131"/>
      <c r="V7" s="132">
        <v>544.95000000000005</v>
      </c>
      <c r="W7" s="135">
        <v>3354.95</v>
      </c>
      <c r="X7" s="132">
        <v>500</v>
      </c>
      <c r="Y7" s="132"/>
      <c r="Z7" s="136"/>
    </row>
    <row r="8" spans="1:26" s="137" customFormat="1" ht="14.45" x14ac:dyDescent="0.3">
      <c r="A8" s="4" t="s">
        <v>57</v>
      </c>
      <c r="B8" s="73" t="s">
        <v>58</v>
      </c>
      <c r="C8" s="138" t="s">
        <v>65</v>
      </c>
      <c r="D8" s="73"/>
      <c r="E8" s="130">
        <v>4</v>
      </c>
      <c r="F8" s="131" t="s">
        <v>66</v>
      </c>
      <c r="G8" s="131">
        <v>550</v>
      </c>
      <c r="H8" s="132">
        <v>8250</v>
      </c>
      <c r="I8" s="131"/>
      <c r="J8" s="140"/>
      <c r="K8" s="131">
        <v>2200</v>
      </c>
      <c r="L8" s="131">
        <v>0</v>
      </c>
      <c r="M8" s="132"/>
      <c r="N8" s="132"/>
      <c r="O8" s="132">
        <v>10450</v>
      </c>
      <c r="P8" s="131">
        <v>1689.15</v>
      </c>
      <c r="Q8" s="132">
        <v>1500</v>
      </c>
      <c r="R8" s="134">
        <v>56.26</v>
      </c>
      <c r="S8" s="134"/>
      <c r="T8" s="131"/>
      <c r="U8" s="131"/>
      <c r="V8" s="132">
        <v>3245.4100000000003</v>
      </c>
      <c r="W8" s="135">
        <v>7204.59</v>
      </c>
      <c r="X8" s="131">
        <v>1200</v>
      </c>
      <c r="Y8" s="131"/>
      <c r="Z8" s="136"/>
    </row>
    <row r="9" spans="1:26" s="137" customFormat="1" ht="14.45" x14ac:dyDescent="0.3">
      <c r="A9" s="4" t="s">
        <v>14</v>
      </c>
      <c r="B9" s="73" t="s">
        <v>58</v>
      </c>
      <c r="C9" s="73" t="s">
        <v>17</v>
      </c>
      <c r="D9" s="73"/>
      <c r="E9" s="130">
        <v>5</v>
      </c>
      <c r="F9" s="133" t="s">
        <v>64</v>
      </c>
      <c r="G9" s="132">
        <v>104</v>
      </c>
      <c r="H9" s="132">
        <v>1560</v>
      </c>
      <c r="I9" s="131"/>
      <c r="J9" s="133"/>
      <c r="K9" s="133">
        <v>0</v>
      </c>
      <c r="L9" s="131">
        <v>600</v>
      </c>
      <c r="M9" s="132"/>
      <c r="N9" s="133"/>
      <c r="O9" s="132">
        <v>2160</v>
      </c>
      <c r="P9" s="139">
        <v>130.91999999999999</v>
      </c>
      <c r="Q9" s="133">
        <v>0</v>
      </c>
      <c r="R9" s="141"/>
      <c r="S9" s="141"/>
      <c r="T9" s="133"/>
      <c r="U9" s="133"/>
      <c r="V9" s="132">
        <v>130.91999999999999</v>
      </c>
      <c r="W9" s="135">
        <v>2029.08</v>
      </c>
      <c r="X9" s="133">
        <v>600</v>
      </c>
      <c r="Y9" s="133"/>
      <c r="Z9" s="136"/>
    </row>
    <row r="10" spans="1:26" s="137" customFormat="1" x14ac:dyDescent="0.25">
      <c r="A10" s="142" t="s">
        <v>57</v>
      </c>
      <c r="B10" s="73" t="s">
        <v>67</v>
      </c>
      <c r="C10" s="143" t="s">
        <v>68</v>
      </c>
      <c r="D10" s="143"/>
      <c r="E10" s="130">
        <v>6</v>
      </c>
      <c r="F10" s="144" t="s">
        <v>69</v>
      </c>
      <c r="G10" s="133">
        <v>474.93</v>
      </c>
      <c r="H10" s="132">
        <v>7123.95</v>
      </c>
      <c r="I10" s="131"/>
      <c r="J10" s="145"/>
      <c r="K10" s="144"/>
      <c r="L10" s="131">
        <v>0</v>
      </c>
      <c r="M10" s="133"/>
      <c r="N10" s="144"/>
      <c r="O10" s="132">
        <v>7123.95</v>
      </c>
      <c r="P10" s="146">
        <v>974.49</v>
      </c>
      <c r="Q10" s="145"/>
      <c r="R10" s="147"/>
      <c r="S10" s="147"/>
      <c r="T10" s="145"/>
      <c r="U10" s="144"/>
      <c r="V10" s="132">
        <v>974.49</v>
      </c>
      <c r="W10" s="135">
        <v>6149.46</v>
      </c>
      <c r="X10" s="145"/>
      <c r="Y10" s="145"/>
      <c r="Z10" s="136"/>
    </row>
    <row r="11" spans="1:26" s="137" customFormat="1" ht="14.45" x14ac:dyDescent="0.3">
      <c r="A11" s="4" t="s">
        <v>24</v>
      </c>
      <c r="B11" s="73" t="s">
        <v>58</v>
      </c>
      <c r="C11" s="73" t="s">
        <v>25</v>
      </c>
      <c r="D11" s="73"/>
      <c r="E11" s="148">
        <v>7</v>
      </c>
      <c r="F11" s="149" t="s">
        <v>239</v>
      </c>
      <c r="G11" s="150">
        <v>135.5</v>
      </c>
      <c r="H11" s="132">
        <v>2032.5</v>
      </c>
      <c r="I11" s="131"/>
      <c r="J11" s="149">
        <v>0</v>
      </c>
      <c r="K11" s="149"/>
      <c r="L11" s="150">
        <v>100</v>
      </c>
      <c r="M11" s="150"/>
      <c r="N11" s="149"/>
      <c r="O11" s="150">
        <v>2132.5</v>
      </c>
      <c r="P11" s="149">
        <v>127.93</v>
      </c>
      <c r="Q11" s="149"/>
      <c r="R11" s="151"/>
      <c r="S11" s="151"/>
      <c r="T11" s="149"/>
      <c r="U11" s="149"/>
      <c r="V11" s="150">
        <v>127.93</v>
      </c>
      <c r="W11" s="135">
        <v>2004.57</v>
      </c>
      <c r="X11" s="133">
        <v>100</v>
      </c>
      <c r="Y11" s="133"/>
      <c r="Z11" s="136"/>
    </row>
    <row r="12" spans="1:26" s="137" customFormat="1" ht="14.45" x14ac:dyDescent="0.3">
      <c r="A12" s="3"/>
      <c r="B12" s="73"/>
      <c r="C12" s="73"/>
      <c r="D12" s="73"/>
      <c r="E12" s="148"/>
      <c r="F12" s="150" t="s">
        <v>292</v>
      </c>
      <c r="G12" s="150"/>
      <c r="H12" s="132"/>
      <c r="I12" s="131"/>
      <c r="J12" s="150"/>
      <c r="K12" s="150"/>
      <c r="L12" s="150"/>
      <c r="M12" s="150"/>
      <c r="N12" s="150"/>
      <c r="O12" s="150"/>
      <c r="P12" s="150"/>
      <c r="Q12" s="199"/>
      <c r="R12" s="162"/>
      <c r="S12" s="162"/>
      <c r="T12" s="150"/>
      <c r="U12" s="150"/>
      <c r="V12" s="150"/>
      <c r="W12" s="135"/>
      <c r="X12" s="132"/>
      <c r="Y12" s="132"/>
      <c r="Z12" s="136"/>
    </row>
    <row r="13" spans="1:26" s="137" customFormat="1" ht="14.45" x14ac:dyDescent="0.3">
      <c r="A13" s="3" t="s">
        <v>6</v>
      </c>
      <c r="B13" s="73" t="s">
        <v>58</v>
      </c>
      <c r="C13" s="73" t="s">
        <v>70</v>
      </c>
      <c r="D13" s="73"/>
      <c r="E13" s="130">
        <v>1</v>
      </c>
      <c r="F13" s="132" t="s">
        <v>71</v>
      </c>
      <c r="G13" s="132">
        <v>238.14</v>
      </c>
      <c r="H13" s="132">
        <v>3572.1</v>
      </c>
      <c r="I13" s="131"/>
      <c r="J13" s="132">
        <v>0</v>
      </c>
      <c r="K13" s="132">
        <v>0</v>
      </c>
      <c r="L13" s="131">
        <v>128</v>
      </c>
      <c r="M13" s="132"/>
      <c r="N13" s="132"/>
      <c r="O13" s="132">
        <v>3700.1</v>
      </c>
      <c r="P13" s="131">
        <v>301.10000000000002</v>
      </c>
      <c r="Q13" s="152"/>
      <c r="R13" s="153"/>
      <c r="S13" s="153"/>
      <c r="T13" s="132">
        <v>0</v>
      </c>
      <c r="U13" s="132"/>
      <c r="V13" s="132">
        <v>301.10000000000002</v>
      </c>
      <c r="W13" s="135">
        <v>3399</v>
      </c>
      <c r="X13" s="132">
        <v>128</v>
      </c>
      <c r="Y13" s="132"/>
      <c r="Z13" s="136"/>
    </row>
    <row r="14" spans="1:26" s="137" customFormat="1" ht="14.45" x14ac:dyDescent="0.3">
      <c r="A14" s="3" t="s">
        <v>6</v>
      </c>
      <c r="B14" s="73" t="s">
        <v>58</v>
      </c>
      <c r="C14" s="73" t="s">
        <v>17</v>
      </c>
      <c r="D14" s="73"/>
      <c r="E14" s="130">
        <v>2</v>
      </c>
      <c r="F14" s="131" t="s">
        <v>72</v>
      </c>
      <c r="G14" s="131">
        <v>138.68</v>
      </c>
      <c r="H14" s="132">
        <v>2080.2000000000003</v>
      </c>
      <c r="I14" s="131"/>
      <c r="J14" s="131"/>
      <c r="K14" s="131">
        <v>554.72</v>
      </c>
      <c r="L14" s="131">
        <v>878</v>
      </c>
      <c r="M14" s="132"/>
      <c r="N14" s="132"/>
      <c r="O14" s="132">
        <v>3512.92</v>
      </c>
      <c r="P14" s="131">
        <v>278.12</v>
      </c>
      <c r="Q14" s="133"/>
      <c r="R14" s="134">
        <v>50</v>
      </c>
      <c r="S14" s="134"/>
      <c r="T14" s="131"/>
      <c r="U14" s="131"/>
      <c r="V14" s="132">
        <v>328.12</v>
      </c>
      <c r="W14" s="135">
        <v>3184.8</v>
      </c>
      <c r="X14" s="131">
        <v>128</v>
      </c>
      <c r="Y14" s="131">
        <v>600</v>
      </c>
      <c r="Z14" s="136"/>
    </row>
    <row r="15" spans="1:26" s="137" customFormat="1" ht="14.45" x14ac:dyDescent="0.3">
      <c r="A15" s="4" t="s">
        <v>6</v>
      </c>
      <c r="B15" s="73" t="s">
        <v>58</v>
      </c>
      <c r="C15" s="73" t="s">
        <v>73</v>
      </c>
      <c r="D15" s="73"/>
      <c r="E15" s="130">
        <v>3</v>
      </c>
      <c r="F15" s="131" t="s">
        <v>74</v>
      </c>
      <c r="G15" s="131">
        <v>238.14</v>
      </c>
      <c r="H15" s="132">
        <v>3572.1</v>
      </c>
      <c r="I15" s="131"/>
      <c r="J15" s="131">
        <v>0</v>
      </c>
      <c r="K15" s="131"/>
      <c r="L15" s="131">
        <v>128</v>
      </c>
      <c r="M15" s="132"/>
      <c r="N15" s="132"/>
      <c r="O15" s="132">
        <v>3700.1</v>
      </c>
      <c r="P15" s="131">
        <v>301.10000000000002</v>
      </c>
      <c r="Q15" s="133">
        <v>500</v>
      </c>
      <c r="R15" s="134"/>
      <c r="S15" s="134"/>
      <c r="T15" s="131"/>
      <c r="U15" s="131"/>
      <c r="V15" s="132">
        <v>801.1</v>
      </c>
      <c r="W15" s="135">
        <v>2899</v>
      </c>
      <c r="X15" s="131">
        <v>128</v>
      </c>
      <c r="Y15" s="131"/>
      <c r="Z15" s="136"/>
    </row>
    <row r="16" spans="1:26" s="137" customFormat="1" ht="14.45" x14ac:dyDescent="0.3">
      <c r="A16" s="4" t="s">
        <v>6</v>
      </c>
      <c r="B16" s="73" t="s">
        <v>58</v>
      </c>
      <c r="C16" s="73" t="s">
        <v>75</v>
      </c>
      <c r="D16" s="73"/>
      <c r="E16" s="130">
        <v>4</v>
      </c>
      <c r="F16" s="131" t="s">
        <v>76</v>
      </c>
      <c r="G16" s="131">
        <v>695.4</v>
      </c>
      <c r="H16" s="132">
        <v>10431</v>
      </c>
      <c r="I16" s="131"/>
      <c r="J16" s="131"/>
      <c r="K16" s="131">
        <v>0</v>
      </c>
      <c r="L16" s="131">
        <v>0</v>
      </c>
      <c r="M16" s="132"/>
      <c r="N16" s="132"/>
      <c r="O16" s="132">
        <v>10431</v>
      </c>
      <c r="P16" s="131">
        <v>1684.68</v>
      </c>
      <c r="Q16" s="132"/>
      <c r="R16" s="134"/>
      <c r="S16" s="134"/>
      <c r="T16" s="131"/>
      <c r="U16" s="131"/>
      <c r="V16" s="132">
        <v>1684.68</v>
      </c>
      <c r="W16" s="135">
        <v>8746.32</v>
      </c>
      <c r="X16" s="131"/>
      <c r="Y16" s="131"/>
      <c r="Z16" s="136"/>
    </row>
    <row r="17" spans="1:26" s="137" customFormat="1" ht="14.45" x14ac:dyDescent="0.3">
      <c r="A17" s="3" t="s">
        <v>6</v>
      </c>
      <c r="B17" s="73" t="s">
        <v>58</v>
      </c>
      <c r="C17" s="73" t="s">
        <v>17</v>
      </c>
      <c r="D17" s="73"/>
      <c r="E17" s="130">
        <v>5</v>
      </c>
      <c r="F17" s="139" t="s">
        <v>77</v>
      </c>
      <c r="G17" s="131">
        <v>124.80000000000001</v>
      </c>
      <c r="H17" s="132">
        <v>1872.0000000000002</v>
      </c>
      <c r="I17" s="131"/>
      <c r="J17" s="131">
        <v>249.60000000000002</v>
      </c>
      <c r="K17" s="131">
        <v>374.4</v>
      </c>
      <c r="L17" s="131">
        <v>2150</v>
      </c>
      <c r="M17" s="132"/>
      <c r="N17" s="132">
        <v>0</v>
      </c>
      <c r="O17" s="132">
        <v>4646</v>
      </c>
      <c r="P17" s="131">
        <v>460.07</v>
      </c>
      <c r="Q17" s="132"/>
      <c r="R17" s="134">
        <v>37.5</v>
      </c>
      <c r="S17" s="134"/>
      <c r="T17" s="131"/>
      <c r="U17" s="131"/>
      <c r="V17" s="132">
        <v>497.57</v>
      </c>
      <c r="W17" s="135">
        <v>4148.43</v>
      </c>
      <c r="X17" s="131">
        <v>350</v>
      </c>
      <c r="Y17" s="131">
        <f>150*12</f>
        <v>1800</v>
      </c>
      <c r="Z17" s="136"/>
    </row>
    <row r="18" spans="1:26" s="137" customFormat="1" ht="14.45" x14ac:dyDescent="0.3">
      <c r="A18" s="6" t="s">
        <v>6</v>
      </c>
      <c r="B18" s="73" t="s">
        <v>58</v>
      </c>
      <c r="C18" s="154" t="s">
        <v>78</v>
      </c>
      <c r="D18" s="154"/>
      <c r="E18" s="155">
        <v>6</v>
      </c>
      <c r="F18" s="139" t="s">
        <v>79</v>
      </c>
      <c r="G18" s="139">
        <v>121.34</v>
      </c>
      <c r="H18" s="132">
        <v>1820.1000000000001</v>
      </c>
      <c r="I18" s="131"/>
      <c r="J18" s="139"/>
      <c r="K18" s="139"/>
      <c r="L18" s="131">
        <v>380</v>
      </c>
      <c r="M18" s="132"/>
      <c r="N18" s="132"/>
      <c r="O18" s="132">
        <v>2200.1000000000004</v>
      </c>
      <c r="P18" s="139">
        <v>135.29</v>
      </c>
      <c r="Q18" s="133"/>
      <c r="R18" s="156"/>
      <c r="S18" s="156"/>
      <c r="T18" s="139"/>
      <c r="U18" s="139"/>
      <c r="V18" s="132">
        <v>135.29</v>
      </c>
      <c r="W18" s="135">
        <v>2064.8100000000004</v>
      </c>
      <c r="X18" s="139">
        <v>380</v>
      </c>
      <c r="Y18" s="139"/>
      <c r="Z18" s="136"/>
    </row>
    <row r="19" spans="1:26" s="137" customFormat="1" ht="14.45" x14ac:dyDescent="0.3">
      <c r="A19" s="4" t="s">
        <v>6</v>
      </c>
      <c r="B19" s="73" t="s">
        <v>58</v>
      </c>
      <c r="C19" s="73" t="s">
        <v>9</v>
      </c>
      <c r="D19" s="73"/>
      <c r="E19" s="130">
        <v>7</v>
      </c>
      <c r="F19" s="133" t="s">
        <v>80</v>
      </c>
      <c r="G19" s="133">
        <v>156</v>
      </c>
      <c r="H19" s="132">
        <v>2340</v>
      </c>
      <c r="I19" s="131"/>
      <c r="J19" s="133"/>
      <c r="K19" s="133"/>
      <c r="L19" s="131">
        <v>180</v>
      </c>
      <c r="M19" s="132"/>
      <c r="N19" s="132"/>
      <c r="O19" s="132">
        <v>2520</v>
      </c>
      <c r="P19" s="139">
        <v>170.09</v>
      </c>
      <c r="Q19" s="133"/>
      <c r="R19" s="141"/>
      <c r="S19" s="141"/>
      <c r="T19" s="133"/>
      <c r="U19" s="133"/>
      <c r="V19" s="132">
        <v>170.09</v>
      </c>
      <c r="W19" s="135">
        <v>2349.91</v>
      </c>
      <c r="X19" s="133">
        <v>180</v>
      </c>
      <c r="Y19" s="133"/>
      <c r="Z19" s="136"/>
    </row>
    <row r="20" spans="1:26" s="137" customFormat="1" ht="14.45" x14ac:dyDescent="0.3">
      <c r="A20" s="4" t="s">
        <v>6</v>
      </c>
      <c r="B20" s="73" t="s">
        <v>58</v>
      </c>
      <c r="C20" s="73" t="s">
        <v>17</v>
      </c>
      <c r="D20" s="73"/>
      <c r="E20" s="130">
        <v>8</v>
      </c>
      <c r="F20" s="133" t="s">
        <v>81</v>
      </c>
      <c r="G20" s="157">
        <v>104</v>
      </c>
      <c r="H20" s="132">
        <v>1560</v>
      </c>
      <c r="I20" s="131"/>
      <c r="J20" s="157"/>
      <c r="K20" s="157"/>
      <c r="L20" s="145">
        <v>710</v>
      </c>
      <c r="M20" s="157"/>
      <c r="N20" s="157">
        <v>0</v>
      </c>
      <c r="O20" s="146">
        <v>2270</v>
      </c>
      <c r="P20" s="144">
        <v>142.88999999999999</v>
      </c>
      <c r="Q20" s="157">
        <v>0</v>
      </c>
      <c r="R20" s="158"/>
      <c r="S20" s="158"/>
      <c r="T20" s="157"/>
      <c r="U20" s="157"/>
      <c r="V20" s="146">
        <v>142.88999999999999</v>
      </c>
      <c r="W20" s="159">
        <v>2127.11</v>
      </c>
      <c r="X20" s="133">
        <v>110</v>
      </c>
      <c r="Y20" s="133"/>
      <c r="Z20" s="136"/>
    </row>
    <row r="21" spans="1:26" s="137" customFormat="1" ht="14.45" x14ac:dyDescent="0.3">
      <c r="A21" s="4" t="s">
        <v>11</v>
      </c>
      <c r="B21" s="73" t="s">
        <v>58</v>
      </c>
      <c r="C21" s="73" t="s">
        <v>12</v>
      </c>
      <c r="D21" s="73"/>
      <c r="E21" s="130">
        <v>1</v>
      </c>
      <c r="F21" s="133" t="s">
        <v>82</v>
      </c>
      <c r="G21" s="132">
        <v>194.8</v>
      </c>
      <c r="H21" s="132">
        <v>2922</v>
      </c>
      <c r="I21" s="131"/>
      <c r="J21" s="133"/>
      <c r="K21" s="133"/>
      <c r="L21" s="131">
        <v>665</v>
      </c>
      <c r="M21" s="132">
        <v>584.40000000000009</v>
      </c>
      <c r="N21" s="132">
        <v>146.10000000000002</v>
      </c>
      <c r="O21" s="132">
        <v>4317.5</v>
      </c>
      <c r="P21" s="131">
        <v>401.2</v>
      </c>
      <c r="Q21" s="133">
        <v>500</v>
      </c>
      <c r="R21" s="141"/>
      <c r="S21" s="141"/>
      <c r="T21" s="133"/>
      <c r="U21" s="133"/>
      <c r="V21" s="132">
        <v>901.2</v>
      </c>
      <c r="W21" s="135">
        <v>3416.3</v>
      </c>
      <c r="X21" s="133">
        <v>165</v>
      </c>
      <c r="Y21" s="133"/>
      <c r="Z21" s="136"/>
    </row>
    <row r="22" spans="1:26" s="137" customFormat="1" ht="14.45" x14ac:dyDescent="0.3">
      <c r="A22" s="4" t="s">
        <v>11</v>
      </c>
      <c r="B22" s="73" t="s">
        <v>67</v>
      </c>
      <c r="C22" s="73" t="s">
        <v>83</v>
      </c>
      <c r="D22" s="73"/>
      <c r="E22" s="130">
        <v>2</v>
      </c>
      <c r="F22" s="139" t="s">
        <v>84</v>
      </c>
      <c r="G22" s="132">
        <v>605</v>
      </c>
      <c r="H22" s="132">
        <v>9075</v>
      </c>
      <c r="I22" s="131"/>
      <c r="J22" s="131"/>
      <c r="K22" s="139"/>
      <c r="L22" s="131">
        <v>0</v>
      </c>
      <c r="M22" s="132"/>
      <c r="N22" s="139"/>
      <c r="O22" s="132">
        <v>9075</v>
      </c>
      <c r="P22" s="132">
        <v>1391.23</v>
      </c>
      <c r="Q22" s="131"/>
      <c r="R22" s="134">
        <v>237.12</v>
      </c>
      <c r="S22" s="134"/>
      <c r="T22" s="131"/>
      <c r="U22" s="139"/>
      <c r="V22" s="132">
        <v>1628.35</v>
      </c>
      <c r="W22" s="135">
        <v>7446.65</v>
      </c>
      <c r="X22" s="131"/>
      <c r="Y22" s="131"/>
      <c r="Z22" s="136"/>
    </row>
    <row r="23" spans="1:26" s="137" customFormat="1" ht="14.45" x14ac:dyDescent="0.3">
      <c r="A23" s="160"/>
      <c r="B23" s="161"/>
      <c r="C23" s="161"/>
      <c r="D23" s="161"/>
      <c r="E23" s="148">
        <v>3</v>
      </c>
      <c r="F23" s="149" t="s">
        <v>132</v>
      </c>
      <c r="G23" s="150">
        <v>300</v>
      </c>
      <c r="H23" s="132">
        <v>4500</v>
      </c>
      <c r="I23" s="131"/>
      <c r="J23" s="150"/>
      <c r="K23" s="149"/>
      <c r="L23" s="131">
        <v>0</v>
      </c>
      <c r="M23" s="150"/>
      <c r="N23" s="149"/>
      <c r="O23" s="132">
        <v>4500</v>
      </c>
      <c r="P23" s="150">
        <v>433.91</v>
      </c>
      <c r="Q23" s="150"/>
      <c r="R23" s="162"/>
      <c r="S23" s="162"/>
      <c r="T23" s="150"/>
      <c r="U23" s="149"/>
      <c r="V23" s="132">
        <v>433.91</v>
      </c>
      <c r="W23" s="135">
        <v>4066.09</v>
      </c>
      <c r="X23" s="150"/>
      <c r="Y23" s="150"/>
      <c r="Z23" s="136"/>
    </row>
    <row r="24" spans="1:26" s="137" customFormat="1" ht="14.45" x14ac:dyDescent="0.3">
      <c r="A24" s="4" t="s">
        <v>14</v>
      </c>
      <c r="B24" s="73" t="s">
        <v>85</v>
      </c>
      <c r="C24" s="73" t="s">
        <v>78</v>
      </c>
      <c r="D24" s="73"/>
      <c r="E24" s="130">
        <v>1</v>
      </c>
      <c r="F24" s="131" t="s">
        <v>86</v>
      </c>
      <c r="G24" s="139">
        <v>200.7</v>
      </c>
      <c r="H24" s="132">
        <v>3010.5</v>
      </c>
      <c r="I24" s="131"/>
      <c r="J24" s="139"/>
      <c r="K24" s="139">
        <v>0</v>
      </c>
      <c r="L24" s="139">
        <v>1100</v>
      </c>
      <c r="M24" s="133">
        <v>2007</v>
      </c>
      <c r="N24" s="133">
        <v>561.96</v>
      </c>
      <c r="O24" s="133">
        <v>6679.46</v>
      </c>
      <c r="P24" s="139">
        <v>879.54</v>
      </c>
      <c r="Q24" s="133"/>
      <c r="R24" s="156"/>
      <c r="S24" s="156"/>
      <c r="T24" s="139">
        <v>0</v>
      </c>
      <c r="U24" s="139">
        <v>28.05</v>
      </c>
      <c r="V24" s="133">
        <v>907.58999999999992</v>
      </c>
      <c r="W24" s="135">
        <v>5771.87</v>
      </c>
      <c r="X24" s="139">
        <v>1100</v>
      </c>
      <c r="Y24" s="139"/>
      <c r="Z24" s="136"/>
    </row>
    <row r="25" spans="1:26" s="137" customFormat="1" ht="14.45" x14ac:dyDescent="0.3">
      <c r="A25" s="4" t="s">
        <v>14</v>
      </c>
      <c r="B25" s="73" t="s">
        <v>58</v>
      </c>
      <c r="C25" s="73" t="s">
        <v>17</v>
      </c>
      <c r="D25" s="73"/>
      <c r="E25" s="130">
        <v>2</v>
      </c>
      <c r="F25" s="133" t="s">
        <v>87</v>
      </c>
      <c r="G25" s="133">
        <v>104</v>
      </c>
      <c r="H25" s="132">
        <v>1352</v>
      </c>
      <c r="I25" s="131"/>
      <c r="J25" s="133"/>
      <c r="K25" s="133">
        <v>0</v>
      </c>
      <c r="L25" s="139">
        <v>400</v>
      </c>
      <c r="M25" s="133"/>
      <c r="N25" s="133"/>
      <c r="O25" s="133">
        <v>1752</v>
      </c>
      <c r="P25" s="139">
        <v>101.11</v>
      </c>
      <c r="Q25" s="133"/>
      <c r="R25" s="141"/>
      <c r="S25" s="141"/>
      <c r="T25" s="133"/>
      <c r="U25" s="133"/>
      <c r="V25" s="133">
        <v>101.11</v>
      </c>
      <c r="W25" s="135">
        <v>1650.89</v>
      </c>
      <c r="X25" s="133">
        <v>100</v>
      </c>
      <c r="Y25" s="133">
        <v>300</v>
      </c>
      <c r="Z25" s="136"/>
    </row>
    <row r="26" spans="1:26" s="137" customFormat="1" ht="14.45" x14ac:dyDescent="0.3">
      <c r="A26" s="4" t="s">
        <v>24</v>
      </c>
      <c r="B26" s="73" t="s">
        <v>58</v>
      </c>
      <c r="C26" s="73" t="s">
        <v>118</v>
      </c>
      <c r="D26" s="73"/>
      <c r="E26" s="130">
        <v>3</v>
      </c>
      <c r="F26" s="139" t="s">
        <v>232</v>
      </c>
      <c r="G26" s="139">
        <v>104</v>
      </c>
      <c r="H26" s="132">
        <v>1560</v>
      </c>
      <c r="I26" s="131"/>
      <c r="J26" s="139"/>
      <c r="K26" s="139"/>
      <c r="L26" s="139">
        <v>900</v>
      </c>
      <c r="M26" s="139"/>
      <c r="N26" s="139"/>
      <c r="O26" s="133">
        <v>2460</v>
      </c>
      <c r="P26" s="133">
        <v>163.56</v>
      </c>
      <c r="Q26" s="139"/>
      <c r="R26" s="156"/>
      <c r="S26" s="156"/>
      <c r="T26" s="139"/>
      <c r="U26" s="139"/>
      <c r="V26" s="133">
        <v>163.56</v>
      </c>
      <c r="W26" s="135">
        <v>2296.44</v>
      </c>
      <c r="X26" s="133">
        <v>100</v>
      </c>
      <c r="Y26" s="139">
        <v>150</v>
      </c>
      <c r="Z26" s="136"/>
    </row>
    <row r="27" spans="1:26" s="137" customFormat="1" ht="14.45" x14ac:dyDescent="0.3">
      <c r="A27" s="4" t="s">
        <v>14</v>
      </c>
      <c r="B27" s="73" t="s">
        <v>58</v>
      </c>
      <c r="C27" s="73" t="s">
        <v>17</v>
      </c>
      <c r="D27" s="73"/>
      <c r="E27" s="130">
        <v>4</v>
      </c>
      <c r="F27" s="163" t="s">
        <v>241</v>
      </c>
      <c r="G27" s="141">
        <v>124.66</v>
      </c>
      <c r="H27" s="132">
        <v>1869.8999999999999</v>
      </c>
      <c r="I27" s="131"/>
      <c r="J27" s="133"/>
      <c r="K27" s="133"/>
      <c r="L27" s="139">
        <v>850</v>
      </c>
      <c r="M27" s="133"/>
      <c r="N27" s="133"/>
      <c r="O27" s="133">
        <v>2719.8999999999996</v>
      </c>
      <c r="P27" s="139">
        <v>191.84</v>
      </c>
      <c r="Q27" s="133"/>
      <c r="R27" s="141"/>
      <c r="S27" s="141"/>
      <c r="T27" s="133"/>
      <c r="U27" s="133"/>
      <c r="V27" s="133">
        <v>191.84</v>
      </c>
      <c r="W27" s="135">
        <v>2528.0599999999995</v>
      </c>
      <c r="X27" s="133">
        <v>250</v>
      </c>
      <c r="Y27" s="133">
        <f>150*5</f>
        <v>750</v>
      </c>
      <c r="Z27" s="136"/>
    </row>
    <row r="28" spans="1:26" s="137" customFormat="1" ht="14.45" x14ac:dyDescent="0.3">
      <c r="A28" s="4" t="s">
        <v>14</v>
      </c>
      <c r="B28" s="73" t="s">
        <v>58</v>
      </c>
      <c r="C28" s="73" t="s">
        <v>17</v>
      </c>
      <c r="D28" s="73"/>
      <c r="E28" s="130">
        <v>5</v>
      </c>
      <c r="F28" s="163" t="s">
        <v>88</v>
      </c>
      <c r="G28" s="141">
        <v>124.66</v>
      </c>
      <c r="H28" s="132">
        <v>1869.8999999999999</v>
      </c>
      <c r="I28" s="131"/>
      <c r="J28" s="133"/>
      <c r="K28" s="133">
        <v>623.29999999999995</v>
      </c>
      <c r="L28" s="139">
        <v>650</v>
      </c>
      <c r="M28" s="133"/>
      <c r="N28" s="133"/>
      <c r="O28" s="133">
        <v>3143.2</v>
      </c>
      <c r="P28" s="139">
        <v>237.9</v>
      </c>
      <c r="Q28" s="133"/>
      <c r="R28" s="141"/>
      <c r="S28" s="141"/>
      <c r="T28" s="133"/>
      <c r="U28" s="133"/>
      <c r="V28" s="133">
        <v>237.9</v>
      </c>
      <c r="W28" s="135">
        <v>2905.2999999999997</v>
      </c>
      <c r="X28" s="133">
        <v>450</v>
      </c>
      <c r="Y28" s="133"/>
      <c r="Z28" s="136"/>
    </row>
    <row r="29" spans="1:26" s="137" customFormat="1" ht="14.45" x14ac:dyDescent="0.3">
      <c r="A29" s="4" t="s">
        <v>14</v>
      </c>
      <c r="B29" s="73" t="s">
        <v>58</v>
      </c>
      <c r="C29" s="73" t="s">
        <v>17</v>
      </c>
      <c r="D29" s="73"/>
      <c r="E29" s="130">
        <v>6</v>
      </c>
      <c r="F29" s="163" t="s">
        <v>89</v>
      </c>
      <c r="G29" s="141">
        <v>104</v>
      </c>
      <c r="H29" s="132">
        <v>1560</v>
      </c>
      <c r="I29" s="131"/>
      <c r="J29" s="133"/>
      <c r="K29" s="164">
        <v>520</v>
      </c>
      <c r="L29" s="139">
        <v>1400</v>
      </c>
      <c r="M29" s="133"/>
      <c r="N29" s="133"/>
      <c r="O29" s="133">
        <v>3480</v>
      </c>
      <c r="P29" s="139">
        <v>274.54000000000002</v>
      </c>
      <c r="Q29" s="133"/>
      <c r="R29" s="141"/>
      <c r="S29" s="141"/>
      <c r="T29" s="133"/>
      <c r="U29" s="133"/>
      <c r="V29" s="133">
        <v>274.54000000000002</v>
      </c>
      <c r="W29" s="135">
        <v>3205.46</v>
      </c>
      <c r="X29" s="133">
        <v>600</v>
      </c>
      <c r="Y29" s="133">
        <v>1200</v>
      </c>
      <c r="Z29" s="136"/>
    </row>
    <row r="30" spans="1:26" s="137" customFormat="1" ht="14.45" x14ac:dyDescent="0.3">
      <c r="A30" s="4" t="s">
        <v>14</v>
      </c>
      <c r="B30" s="73" t="s">
        <v>58</v>
      </c>
      <c r="C30" s="73" t="s">
        <v>17</v>
      </c>
      <c r="D30" s="73"/>
      <c r="E30" s="130">
        <v>7</v>
      </c>
      <c r="F30" s="165" t="s">
        <v>90</v>
      </c>
      <c r="G30" s="141">
        <v>104</v>
      </c>
      <c r="H30" s="132">
        <v>1560</v>
      </c>
      <c r="I30" s="131"/>
      <c r="J30" s="133"/>
      <c r="K30" s="133"/>
      <c r="L30" s="139">
        <v>550</v>
      </c>
      <c r="M30" s="133"/>
      <c r="N30" s="133"/>
      <c r="O30" s="133">
        <v>2110</v>
      </c>
      <c r="P30" s="139">
        <v>125.48</v>
      </c>
      <c r="Q30" s="133"/>
      <c r="R30" s="141"/>
      <c r="S30" s="141"/>
      <c r="T30" s="133"/>
      <c r="U30" s="133"/>
      <c r="V30" s="133">
        <v>125.48</v>
      </c>
      <c r="W30" s="135">
        <v>1984.52</v>
      </c>
      <c r="X30" s="133">
        <v>100</v>
      </c>
      <c r="Y30" s="133">
        <v>600</v>
      </c>
      <c r="Z30" s="136"/>
    </row>
    <row r="31" spans="1:26" s="137" customFormat="1" ht="14.45" x14ac:dyDescent="0.3">
      <c r="A31" s="4" t="s">
        <v>14</v>
      </c>
      <c r="B31" s="73" t="s">
        <v>58</v>
      </c>
      <c r="C31" s="73" t="s">
        <v>17</v>
      </c>
      <c r="D31" s="73"/>
      <c r="E31" s="130">
        <v>8</v>
      </c>
      <c r="F31" s="165" t="s">
        <v>91</v>
      </c>
      <c r="G31" s="141">
        <v>104</v>
      </c>
      <c r="H31" s="132">
        <v>1560</v>
      </c>
      <c r="I31" s="131"/>
      <c r="J31" s="133"/>
      <c r="K31" s="133">
        <v>624</v>
      </c>
      <c r="L31" s="139">
        <v>850</v>
      </c>
      <c r="M31" s="133"/>
      <c r="N31" s="133"/>
      <c r="O31" s="133">
        <v>3034</v>
      </c>
      <c r="P31" s="139">
        <v>226.02</v>
      </c>
      <c r="Q31" s="133"/>
      <c r="R31" s="141"/>
      <c r="S31" s="141"/>
      <c r="T31" s="133"/>
      <c r="U31" s="133"/>
      <c r="V31" s="133">
        <v>226.02</v>
      </c>
      <c r="W31" s="135">
        <v>2807.98</v>
      </c>
      <c r="X31" s="133">
        <v>100</v>
      </c>
      <c r="Y31" s="133">
        <v>600</v>
      </c>
      <c r="Z31" s="136"/>
    </row>
    <row r="32" spans="1:26" s="137" customFormat="1" ht="14.45" x14ac:dyDescent="0.3">
      <c r="A32" s="4" t="s">
        <v>14</v>
      </c>
      <c r="B32" s="73" t="s">
        <v>58</v>
      </c>
      <c r="C32" s="73" t="s">
        <v>17</v>
      </c>
      <c r="D32" s="73"/>
      <c r="E32" s="130">
        <v>9</v>
      </c>
      <c r="F32" s="139" t="s">
        <v>92</v>
      </c>
      <c r="G32" s="133">
        <v>104</v>
      </c>
      <c r="H32" s="132">
        <v>1560</v>
      </c>
      <c r="I32" s="131"/>
      <c r="J32" s="139"/>
      <c r="K32" s="139"/>
      <c r="L32" s="139">
        <v>250</v>
      </c>
      <c r="M32" s="133"/>
      <c r="N32" s="139"/>
      <c r="O32" s="133">
        <v>1810</v>
      </c>
      <c r="P32" s="133">
        <v>104.82</v>
      </c>
      <c r="Q32" s="139"/>
      <c r="R32" s="156"/>
      <c r="S32" s="156"/>
      <c r="T32" s="139"/>
      <c r="U32" s="139"/>
      <c r="V32" s="133">
        <v>104.82</v>
      </c>
      <c r="W32" s="135">
        <v>1705.18</v>
      </c>
      <c r="X32" s="133">
        <v>100</v>
      </c>
      <c r="Y32" s="4">
        <v>450</v>
      </c>
      <c r="Z32" s="136"/>
    </row>
    <row r="33" spans="1:26" s="137" customFormat="1" ht="14.45" x14ac:dyDescent="0.3">
      <c r="A33" s="4" t="s">
        <v>14</v>
      </c>
      <c r="B33" s="73" t="s">
        <v>58</v>
      </c>
      <c r="C33" s="73" t="s">
        <v>78</v>
      </c>
      <c r="D33" s="73"/>
      <c r="E33" s="130">
        <v>10</v>
      </c>
      <c r="F33" s="133" t="s">
        <v>93</v>
      </c>
      <c r="G33" s="133">
        <v>150</v>
      </c>
      <c r="H33" s="132">
        <v>2250</v>
      </c>
      <c r="I33" s="131"/>
      <c r="J33" s="133"/>
      <c r="K33" s="133"/>
      <c r="L33" s="139">
        <v>100</v>
      </c>
      <c r="M33" s="133"/>
      <c r="N33" s="139"/>
      <c r="O33" s="133">
        <v>2350</v>
      </c>
      <c r="P33" s="133">
        <v>151.6</v>
      </c>
      <c r="Q33" s="139"/>
      <c r="R33" s="156"/>
      <c r="S33" s="156"/>
      <c r="T33" s="139"/>
      <c r="U33" s="139"/>
      <c r="V33" s="133">
        <v>151.6</v>
      </c>
      <c r="W33" s="135">
        <v>2198.4</v>
      </c>
      <c r="X33" s="133">
        <v>100</v>
      </c>
      <c r="Y33" s="4"/>
      <c r="Z33" s="136"/>
    </row>
    <row r="34" spans="1:26" s="137" customFormat="1" ht="14.45" x14ac:dyDescent="0.3">
      <c r="A34" s="4" t="s">
        <v>14</v>
      </c>
      <c r="B34" s="73" t="s">
        <v>58</v>
      </c>
      <c r="C34" s="73"/>
      <c r="D34" s="73"/>
      <c r="E34" s="148">
        <v>12</v>
      </c>
      <c r="F34" s="149" t="s">
        <v>133</v>
      </c>
      <c r="G34" s="132">
        <v>104</v>
      </c>
      <c r="H34" s="132">
        <v>1560</v>
      </c>
      <c r="I34" s="131"/>
      <c r="J34" s="133"/>
      <c r="K34" s="133"/>
      <c r="L34" s="131">
        <v>1450</v>
      </c>
      <c r="M34" s="132"/>
      <c r="N34" s="139"/>
      <c r="O34" s="132">
        <v>3010</v>
      </c>
      <c r="P34" s="132">
        <v>223.4</v>
      </c>
      <c r="Q34" s="131"/>
      <c r="R34" s="134"/>
      <c r="S34" s="134"/>
      <c r="T34" s="131"/>
      <c r="U34" s="139"/>
      <c r="V34" s="132">
        <v>223.4</v>
      </c>
      <c r="W34" s="135">
        <v>2786.6</v>
      </c>
      <c r="X34" s="133">
        <v>100</v>
      </c>
      <c r="Y34" s="4">
        <f>150*6</f>
        <v>900</v>
      </c>
      <c r="Z34" s="136"/>
    </row>
    <row r="35" spans="1:26" s="137" customFormat="1" ht="14.45" x14ac:dyDescent="0.3">
      <c r="A35" s="4" t="s">
        <v>14</v>
      </c>
      <c r="B35" s="73" t="s">
        <v>58</v>
      </c>
      <c r="C35" s="73"/>
      <c r="D35" s="73"/>
      <c r="E35" s="148">
        <v>12</v>
      </c>
      <c r="F35" s="149" t="s">
        <v>134</v>
      </c>
      <c r="G35" s="150">
        <v>104</v>
      </c>
      <c r="H35" s="132">
        <v>1560</v>
      </c>
      <c r="I35" s="131"/>
      <c r="J35" s="149"/>
      <c r="K35" s="149"/>
      <c r="L35" s="150">
        <v>850</v>
      </c>
      <c r="M35" s="150"/>
      <c r="N35" s="149"/>
      <c r="O35" s="132">
        <v>2410</v>
      </c>
      <c r="P35" s="150">
        <v>158.12</v>
      </c>
      <c r="Q35" s="150"/>
      <c r="R35" s="162"/>
      <c r="S35" s="162"/>
      <c r="T35" s="150"/>
      <c r="U35" s="149"/>
      <c r="V35" s="132">
        <v>158.12</v>
      </c>
      <c r="W35" s="135">
        <v>2251.88</v>
      </c>
      <c r="X35" s="149">
        <v>100</v>
      </c>
      <c r="Y35" s="4">
        <v>600</v>
      </c>
      <c r="Z35" s="136"/>
    </row>
    <row r="36" spans="1:26" s="137" customFormat="1" ht="14.45" x14ac:dyDescent="0.3">
      <c r="A36" s="4" t="s">
        <v>14</v>
      </c>
      <c r="B36" s="73" t="s">
        <v>58</v>
      </c>
      <c r="C36" s="73"/>
      <c r="D36" s="73"/>
      <c r="E36" s="148">
        <v>13</v>
      </c>
      <c r="F36" s="149" t="s">
        <v>233</v>
      </c>
      <c r="G36" s="150">
        <v>104</v>
      </c>
      <c r="H36" s="132">
        <v>1560</v>
      </c>
      <c r="I36" s="131"/>
      <c r="J36" s="149"/>
      <c r="K36" s="149">
        <v>364</v>
      </c>
      <c r="L36" s="131">
        <v>550</v>
      </c>
      <c r="M36" s="150"/>
      <c r="N36" s="149"/>
      <c r="O36" s="132">
        <v>2474</v>
      </c>
      <c r="P36" s="150">
        <v>165.09</v>
      </c>
      <c r="Q36" s="150"/>
      <c r="R36" s="162"/>
      <c r="S36" s="162"/>
      <c r="T36" s="150"/>
      <c r="U36" s="149"/>
      <c r="V36" s="132">
        <v>165.09</v>
      </c>
      <c r="W36" s="135">
        <v>2308.91</v>
      </c>
      <c r="X36" s="149">
        <v>100</v>
      </c>
      <c r="Y36" s="139">
        <v>450</v>
      </c>
      <c r="Z36" s="136"/>
    </row>
    <row r="37" spans="1:26" s="137" customFormat="1" x14ac:dyDescent="0.25">
      <c r="A37" s="4" t="s">
        <v>94</v>
      </c>
      <c r="B37" s="73" t="s">
        <v>58</v>
      </c>
      <c r="C37" s="73" t="s">
        <v>95</v>
      </c>
      <c r="D37" s="73"/>
      <c r="E37" s="130">
        <v>1</v>
      </c>
      <c r="F37" s="166" t="s">
        <v>96</v>
      </c>
      <c r="G37" s="166">
        <v>194.12639999999999</v>
      </c>
      <c r="H37" s="132">
        <v>2911.8959999999997</v>
      </c>
      <c r="I37" s="131"/>
      <c r="J37" s="166"/>
      <c r="K37" s="166"/>
      <c r="L37" s="166">
        <v>500</v>
      </c>
      <c r="M37" s="167"/>
      <c r="N37" s="167"/>
      <c r="O37" s="132">
        <v>3411.8959999999997</v>
      </c>
      <c r="P37" s="131">
        <v>267.13</v>
      </c>
      <c r="Q37" s="166"/>
      <c r="R37" s="168">
        <v>50</v>
      </c>
      <c r="S37" s="168"/>
      <c r="T37" s="166"/>
      <c r="U37" s="166"/>
      <c r="V37" s="132">
        <v>317.13</v>
      </c>
      <c r="W37" s="135">
        <v>3094.7659999999996</v>
      </c>
      <c r="X37" s="166">
        <v>332.39</v>
      </c>
      <c r="Y37" s="131"/>
      <c r="Z37" s="136"/>
    </row>
    <row r="38" spans="1:26" s="137" customFormat="1" ht="14.45" x14ac:dyDescent="0.3">
      <c r="A38" s="4" t="s">
        <v>94</v>
      </c>
      <c r="B38" s="73" t="s">
        <v>67</v>
      </c>
      <c r="C38" s="73" t="s">
        <v>97</v>
      </c>
      <c r="D38" s="73"/>
      <c r="E38" s="130">
        <v>2</v>
      </c>
      <c r="F38" s="139" t="s">
        <v>98</v>
      </c>
      <c r="G38" s="139">
        <v>1109.3399999999999</v>
      </c>
      <c r="H38" s="132">
        <v>16640.099999999999</v>
      </c>
      <c r="I38" s="131"/>
      <c r="J38" s="139"/>
      <c r="K38" s="139"/>
      <c r="L38" s="131">
        <v>0</v>
      </c>
      <c r="M38" s="139"/>
      <c r="N38" s="139"/>
      <c r="O38" s="132">
        <v>16640.099999999999</v>
      </c>
      <c r="P38" s="139">
        <v>3176.71</v>
      </c>
      <c r="Q38" s="139"/>
      <c r="R38" s="156"/>
      <c r="S38" s="156"/>
      <c r="T38" s="139"/>
      <c r="U38" s="139"/>
      <c r="V38" s="132">
        <v>3176.71</v>
      </c>
      <c r="W38" s="135">
        <v>13463.39</v>
      </c>
      <c r="X38" s="139"/>
      <c r="Y38" s="139"/>
      <c r="Z38" s="136"/>
    </row>
    <row r="39" spans="1:26" s="137" customFormat="1" ht="14.45" x14ac:dyDescent="0.3">
      <c r="A39" s="4" t="s">
        <v>23</v>
      </c>
      <c r="B39" s="73" t="s">
        <v>58</v>
      </c>
      <c r="C39" s="73" t="s">
        <v>99</v>
      </c>
      <c r="D39" s="73"/>
      <c r="E39" s="130">
        <v>1</v>
      </c>
      <c r="F39" s="133" t="s">
        <v>100</v>
      </c>
      <c r="G39" s="169">
        <v>130</v>
      </c>
      <c r="H39" s="132">
        <v>1950</v>
      </c>
      <c r="I39" s="131"/>
      <c r="J39" s="133"/>
      <c r="K39" s="133">
        <v>260</v>
      </c>
      <c r="L39" s="131">
        <v>818</v>
      </c>
      <c r="M39" s="132"/>
      <c r="N39" s="133"/>
      <c r="O39" s="132">
        <v>3028</v>
      </c>
      <c r="P39" s="139">
        <v>225.36</v>
      </c>
      <c r="Q39" s="133"/>
      <c r="R39" s="141"/>
      <c r="S39" s="141"/>
      <c r="T39" s="133"/>
      <c r="U39" s="133"/>
      <c r="V39" s="132">
        <v>225.36</v>
      </c>
      <c r="W39" s="135">
        <v>2802.64</v>
      </c>
      <c r="X39" s="133">
        <v>818</v>
      </c>
      <c r="Y39" s="133"/>
      <c r="Z39" s="136"/>
    </row>
    <row r="40" spans="1:26" s="137" customFormat="1" ht="14.45" x14ac:dyDescent="0.3">
      <c r="A40" s="4" t="s">
        <v>23</v>
      </c>
      <c r="B40" s="73" t="s">
        <v>58</v>
      </c>
      <c r="C40" s="73" t="s">
        <v>17</v>
      </c>
      <c r="D40" s="73"/>
      <c r="E40" s="130">
        <v>2</v>
      </c>
      <c r="F40" s="170" t="s">
        <v>101</v>
      </c>
      <c r="G40" s="169">
        <v>140</v>
      </c>
      <c r="H40" s="132">
        <v>2100</v>
      </c>
      <c r="I40" s="131"/>
      <c r="J40" s="133"/>
      <c r="K40" s="133">
        <v>0</v>
      </c>
      <c r="L40" s="131">
        <v>600</v>
      </c>
      <c r="M40" s="132"/>
      <c r="N40" s="133"/>
      <c r="O40" s="132">
        <v>2700</v>
      </c>
      <c r="P40" s="139">
        <v>189.68</v>
      </c>
      <c r="Q40" s="133"/>
      <c r="R40" s="141"/>
      <c r="S40" s="141"/>
      <c r="T40" s="133"/>
      <c r="U40" s="133"/>
      <c r="V40" s="132">
        <v>189.68</v>
      </c>
      <c r="W40" s="135">
        <v>2510.3200000000002</v>
      </c>
      <c r="X40" s="133"/>
      <c r="Y40" s="133"/>
      <c r="Z40" s="136"/>
    </row>
    <row r="41" spans="1:26" s="137" customFormat="1" x14ac:dyDescent="0.25">
      <c r="A41" s="4" t="s">
        <v>23</v>
      </c>
      <c r="B41" s="73" t="s">
        <v>58</v>
      </c>
      <c r="C41" s="73" t="s">
        <v>102</v>
      </c>
      <c r="D41" s="73"/>
      <c r="E41" s="130">
        <v>3</v>
      </c>
      <c r="F41" s="165" t="s">
        <v>103</v>
      </c>
      <c r="G41" s="158">
        <v>547.05999999999995</v>
      </c>
      <c r="H41" s="132">
        <v>8205.9</v>
      </c>
      <c r="I41" s="131"/>
      <c r="J41" s="133"/>
      <c r="K41" s="133"/>
      <c r="L41" s="131">
        <v>0</v>
      </c>
      <c r="M41" s="132"/>
      <c r="N41" s="133">
        <v>0</v>
      </c>
      <c r="O41" s="132">
        <v>8205.9</v>
      </c>
      <c r="P41" s="139">
        <v>1205.5899999999999</v>
      </c>
      <c r="Q41" s="133"/>
      <c r="R41" s="141"/>
      <c r="S41" s="141"/>
      <c r="T41" s="133"/>
      <c r="U41" s="133"/>
      <c r="V41" s="132">
        <v>1205.5899999999999</v>
      </c>
      <c r="W41" s="135">
        <v>7000.3099999999995</v>
      </c>
      <c r="X41" s="133"/>
      <c r="Y41" s="133"/>
      <c r="Z41" s="136"/>
    </row>
    <row r="42" spans="1:26" s="137" customFormat="1" ht="14.45" x14ac:dyDescent="0.3">
      <c r="A42" s="4" t="s">
        <v>24</v>
      </c>
      <c r="B42" s="73" t="s">
        <v>58</v>
      </c>
      <c r="C42" s="73" t="s">
        <v>25</v>
      </c>
      <c r="D42" s="73"/>
      <c r="E42" s="130">
        <v>1</v>
      </c>
      <c r="F42" s="132" t="s">
        <v>104</v>
      </c>
      <c r="G42" s="132">
        <v>104</v>
      </c>
      <c r="H42" s="132">
        <v>1560</v>
      </c>
      <c r="I42" s="131"/>
      <c r="J42" s="133"/>
      <c r="K42" s="132"/>
      <c r="L42" s="131">
        <v>100</v>
      </c>
      <c r="M42" s="132"/>
      <c r="N42" s="132">
        <v>0</v>
      </c>
      <c r="O42" s="132">
        <v>1660</v>
      </c>
      <c r="P42" s="131">
        <v>95.22</v>
      </c>
      <c r="Q42" s="171"/>
      <c r="R42" s="153"/>
      <c r="S42" s="153"/>
      <c r="T42" s="132">
        <v>0</v>
      </c>
      <c r="U42" s="132"/>
      <c r="V42" s="132">
        <v>95.22</v>
      </c>
      <c r="W42" s="135">
        <v>1564.78</v>
      </c>
      <c r="X42" s="132">
        <v>100</v>
      </c>
      <c r="Y42" s="132"/>
      <c r="Z42" s="136"/>
    </row>
    <row r="43" spans="1:26" s="137" customFormat="1" ht="14.45" x14ac:dyDescent="0.3">
      <c r="A43" s="4" t="s">
        <v>24</v>
      </c>
      <c r="B43" s="73" t="s">
        <v>58</v>
      </c>
      <c r="C43" s="73" t="s">
        <v>45</v>
      </c>
      <c r="D43" s="73"/>
      <c r="E43" s="130">
        <v>2</v>
      </c>
      <c r="F43" s="131" t="s">
        <v>105</v>
      </c>
      <c r="G43" s="131">
        <v>207.5</v>
      </c>
      <c r="H43" s="132">
        <v>3112.5</v>
      </c>
      <c r="I43" s="131"/>
      <c r="J43" s="133"/>
      <c r="K43" s="131"/>
      <c r="L43" s="131">
        <v>2100</v>
      </c>
      <c r="M43" s="132"/>
      <c r="N43" s="132"/>
      <c r="O43" s="132">
        <v>5212.5</v>
      </c>
      <c r="P43" s="131">
        <v>566.20000000000005</v>
      </c>
      <c r="Q43" s="171"/>
      <c r="R43" s="134"/>
      <c r="S43" s="134"/>
      <c r="T43" s="131">
        <v>0</v>
      </c>
      <c r="U43" s="172"/>
      <c r="V43" s="132">
        <v>566.20000000000005</v>
      </c>
      <c r="W43" s="135">
        <v>4646.3</v>
      </c>
      <c r="X43" s="131">
        <v>600</v>
      </c>
      <c r="Y43" s="131">
        <v>500</v>
      </c>
      <c r="Z43" s="136"/>
    </row>
    <row r="44" spans="1:26" s="137" customFormat="1" ht="14.45" x14ac:dyDescent="0.3">
      <c r="A44" s="4" t="s">
        <v>24</v>
      </c>
      <c r="B44" s="73" t="s">
        <v>58</v>
      </c>
      <c r="C44" s="73" t="s">
        <v>25</v>
      </c>
      <c r="D44" s="73"/>
      <c r="E44" s="130">
        <v>3</v>
      </c>
      <c r="F44" s="131" t="s">
        <v>106</v>
      </c>
      <c r="G44" s="131">
        <v>100.017</v>
      </c>
      <c r="H44" s="132">
        <v>1500.2549999999999</v>
      </c>
      <c r="I44" s="131"/>
      <c r="J44" s="133"/>
      <c r="K44" s="131"/>
      <c r="L44" s="131">
        <v>100</v>
      </c>
      <c r="M44" s="132"/>
      <c r="N44" s="132"/>
      <c r="O44" s="132">
        <v>1600.2549999999999</v>
      </c>
      <c r="P44" s="131">
        <v>91.4</v>
      </c>
      <c r="Q44" s="132"/>
      <c r="R44" s="134"/>
      <c r="S44" s="134"/>
      <c r="T44" s="131"/>
      <c r="U44" s="131"/>
      <c r="V44" s="132">
        <v>91.4</v>
      </c>
      <c r="W44" s="135">
        <v>1508.8549999999998</v>
      </c>
      <c r="X44" s="131">
        <v>100</v>
      </c>
      <c r="Y44" s="131"/>
      <c r="Z44" s="136"/>
    </row>
    <row r="45" spans="1:26" s="137" customFormat="1" ht="14.45" x14ac:dyDescent="0.3">
      <c r="A45" s="4" t="s">
        <v>24</v>
      </c>
      <c r="B45" s="73" t="s">
        <v>58</v>
      </c>
      <c r="C45" s="73" t="s">
        <v>25</v>
      </c>
      <c r="D45" s="73"/>
      <c r="E45" s="130">
        <v>4</v>
      </c>
      <c r="F45" s="133" t="s">
        <v>107</v>
      </c>
      <c r="G45" s="133">
        <v>138.68</v>
      </c>
      <c r="H45" s="132">
        <v>2080.2000000000003</v>
      </c>
      <c r="I45" s="131"/>
      <c r="J45" s="133"/>
      <c r="K45" s="131"/>
      <c r="L45" s="131">
        <v>140</v>
      </c>
      <c r="M45" s="132"/>
      <c r="N45" s="132">
        <v>0</v>
      </c>
      <c r="O45" s="132">
        <v>2220.2000000000003</v>
      </c>
      <c r="P45" s="131">
        <v>137.47</v>
      </c>
      <c r="Q45" s="133"/>
      <c r="R45" s="141"/>
      <c r="S45" s="141"/>
      <c r="T45" s="133"/>
      <c r="U45" s="133"/>
      <c r="V45" s="132">
        <v>137.47</v>
      </c>
      <c r="W45" s="135">
        <v>2082.7300000000005</v>
      </c>
      <c r="X45" s="133">
        <v>140</v>
      </c>
      <c r="Y45" s="133"/>
      <c r="Z45" s="136"/>
    </row>
    <row r="46" spans="1:26" s="137" customFormat="1" x14ac:dyDescent="0.25">
      <c r="A46" s="4" t="s">
        <v>24</v>
      </c>
      <c r="B46" s="73" t="s">
        <v>58</v>
      </c>
      <c r="C46" s="73" t="s">
        <v>25</v>
      </c>
      <c r="D46" s="73"/>
      <c r="E46" s="130">
        <v>5</v>
      </c>
      <c r="F46" s="133" t="s">
        <v>108</v>
      </c>
      <c r="G46" s="133">
        <v>138.68</v>
      </c>
      <c r="H46" s="132">
        <v>2080.2000000000003</v>
      </c>
      <c r="I46" s="131"/>
      <c r="J46" s="133"/>
      <c r="K46" s="131"/>
      <c r="L46" s="131">
        <v>140</v>
      </c>
      <c r="M46" s="132"/>
      <c r="N46" s="132">
        <v>0</v>
      </c>
      <c r="O46" s="132">
        <v>2220.2000000000003</v>
      </c>
      <c r="P46" s="131">
        <v>137.47</v>
      </c>
      <c r="Q46" s="133"/>
      <c r="R46" s="141"/>
      <c r="S46" s="141"/>
      <c r="T46" s="133"/>
      <c r="U46" s="133"/>
      <c r="V46" s="132">
        <v>137.47</v>
      </c>
      <c r="W46" s="135">
        <v>2082.7300000000005</v>
      </c>
      <c r="X46" s="133">
        <v>140</v>
      </c>
      <c r="Y46" s="133"/>
      <c r="Z46" s="136"/>
    </row>
    <row r="47" spans="1:26" s="137" customFormat="1" ht="14.45" x14ac:dyDescent="0.3">
      <c r="A47" s="4" t="s">
        <v>24</v>
      </c>
      <c r="B47" s="73" t="s">
        <v>58</v>
      </c>
      <c r="C47" s="73" t="s">
        <v>45</v>
      </c>
      <c r="D47" s="73"/>
      <c r="E47" s="130">
        <v>6</v>
      </c>
      <c r="F47" s="131" t="s">
        <v>109</v>
      </c>
      <c r="G47" s="131">
        <v>255</v>
      </c>
      <c r="H47" s="132">
        <v>3825</v>
      </c>
      <c r="I47" s="131"/>
      <c r="J47" s="133"/>
      <c r="K47" s="131"/>
      <c r="L47" s="131">
        <v>2100</v>
      </c>
      <c r="M47" s="132"/>
      <c r="N47" s="132"/>
      <c r="O47" s="132">
        <v>5925</v>
      </c>
      <c r="P47" s="131">
        <v>718.39</v>
      </c>
      <c r="Q47" s="131"/>
      <c r="R47" s="134"/>
      <c r="S47" s="134"/>
      <c r="T47" s="131"/>
      <c r="U47" s="131"/>
      <c r="V47" s="132">
        <v>718.39</v>
      </c>
      <c r="W47" s="135">
        <v>5206.6099999999997</v>
      </c>
      <c r="X47" s="131">
        <v>600</v>
      </c>
      <c r="Y47" s="131">
        <v>500</v>
      </c>
      <c r="Z47" s="136"/>
    </row>
    <row r="48" spans="1:26" s="137" customFormat="1" x14ac:dyDescent="0.25">
      <c r="A48" s="4" t="s">
        <v>24</v>
      </c>
      <c r="B48" s="73" t="s">
        <v>58</v>
      </c>
      <c r="C48" s="73" t="s">
        <v>110</v>
      </c>
      <c r="D48" s="73"/>
      <c r="E48" s="130">
        <v>7</v>
      </c>
      <c r="F48" s="133" t="s">
        <v>111</v>
      </c>
      <c r="G48" s="133">
        <v>179.92000000000002</v>
      </c>
      <c r="H48" s="132">
        <v>2698.8</v>
      </c>
      <c r="I48" s="131"/>
      <c r="J48" s="133">
        <v>179.92000000000002</v>
      </c>
      <c r="K48" s="131">
        <v>224.90000000000003</v>
      </c>
      <c r="L48" s="131">
        <v>145</v>
      </c>
      <c r="M48" s="132"/>
      <c r="N48" s="132">
        <v>0</v>
      </c>
      <c r="O48" s="132">
        <v>3248.6200000000003</v>
      </c>
      <c r="P48" s="131">
        <v>249.37</v>
      </c>
      <c r="Q48" s="133"/>
      <c r="R48" s="141">
        <v>48.76</v>
      </c>
      <c r="S48" s="141"/>
      <c r="T48" s="133"/>
      <c r="U48" s="133"/>
      <c r="V48" s="132">
        <v>298.13</v>
      </c>
      <c r="W48" s="135">
        <v>2950.4900000000002</v>
      </c>
      <c r="X48" s="133">
        <v>145</v>
      </c>
      <c r="Y48" s="133"/>
      <c r="Z48" s="136"/>
    </row>
    <row r="49" spans="1:26" s="137" customFormat="1" ht="14.45" x14ac:dyDescent="0.3">
      <c r="A49" s="4" t="s">
        <v>24</v>
      </c>
      <c r="B49" s="73" t="s">
        <v>58</v>
      </c>
      <c r="C49" s="73" t="s">
        <v>112</v>
      </c>
      <c r="D49" s="73"/>
      <c r="E49" s="130">
        <v>8</v>
      </c>
      <c r="F49" s="133" t="s">
        <v>113</v>
      </c>
      <c r="G49" s="132">
        <v>173.34</v>
      </c>
      <c r="H49" s="132">
        <v>2600.1</v>
      </c>
      <c r="I49" s="131"/>
      <c r="J49" s="133"/>
      <c r="K49" s="131"/>
      <c r="L49" s="131">
        <v>1700</v>
      </c>
      <c r="M49" s="132"/>
      <c r="N49" s="132">
        <v>0</v>
      </c>
      <c r="O49" s="132">
        <v>4300.1000000000004</v>
      </c>
      <c r="P49" s="131">
        <v>398.08</v>
      </c>
      <c r="Q49" s="133"/>
      <c r="R49" s="141"/>
      <c r="S49" s="141"/>
      <c r="T49" s="133"/>
      <c r="U49" s="133"/>
      <c r="V49" s="132">
        <v>398.08</v>
      </c>
      <c r="W49" s="135">
        <v>3902.0200000000004</v>
      </c>
      <c r="X49" s="133">
        <v>1700</v>
      </c>
      <c r="Y49" s="133"/>
      <c r="Z49" s="136"/>
    </row>
    <row r="50" spans="1:26" s="137" customFormat="1" ht="14.45" x14ac:dyDescent="0.3">
      <c r="A50" s="4" t="s">
        <v>24</v>
      </c>
      <c r="B50" s="73" t="s">
        <v>58</v>
      </c>
      <c r="C50" s="73" t="s">
        <v>50</v>
      </c>
      <c r="D50" s="73"/>
      <c r="E50" s="130">
        <v>9</v>
      </c>
      <c r="F50" s="133" t="s">
        <v>114</v>
      </c>
      <c r="G50" s="133">
        <v>124.80000000000001</v>
      </c>
      <c r="H50" s="132">
        <v>1872.0000000000002</v>
      </c>
      <c r="I50" s="131"/>
      <c r="J50" s="133"/>
      <c r="K50" s="149"/>
      <c r="L50" s="139">
        <v>120</v>
      </c>
      <c r="M50" s="133"/>
      <c r="N50" s="133"/>
      <c r="O50" s="133">
        <v>1992.0000000000002</v>
      </c>
      <c r="P50" s="139">
        <v>116.47</v>
      </c>
      <c r="Q50" s="133"/>
      <c r="R50" s="141"/>
      <c r="S50" s="141"/>
      <c r="T50" s="133"/>
      <c r="U50" s="133"/>
      <c r="V50" s="133">
        <v>116.47</v>
      </c>
      <c r="W50" s="135">
        <v>1875.5300000000002</v>
      </c>
      <c r="X50" s="133">
        <v>120</v>
      </c>
      <c r="Y50" s="133"/>
      <c r="Z50" s="136"/>
    </row>
    <row r="51" spans="1:26" s="137" customFormat="1" ht="14.45" x14ac:dyDescent="0.3">
      <c r="A51" s="4" t="s">
        <v>24</v>
      </c>
      <c r="B51" s="73" t="s">
        <v>58</v>
      </c>
      <c r="C51" s="73" t="s">
        <v>115</v>
      </c>
      <c r="D51" s="73"/>
      <c r="E51" s="130">
        <v>10</v>
      </c>
      <c r="F51" s="133" t="s">
        <v>116</v>
      </c>
      <c r="G51" s="133">
        <v>200</v>
      </c>
      <c r="H51" s="132">
        <v>3000</v>
      </c>
      <c r="I51" s="131"/>
      <c r="J51" s="133"/>
      <c r="K51" s="149"/>
      <c r="L51" s="139">
        <v>1700</v>
      </c>
      <c r="M51" s="133"/>
      <c r="N51" s="133">
        <v>0</v>
      </c>
      <c r="O51" s="133">
        <v>4700</v>
      </c>
      <c r="P51" s="139">
        <v>467.75</v>
      </c>
      <c r="Q51" s="139"/>
      <c r="R51" s="139"/>
      <c r="S51" s="139">
        <v>1127.5</v>
      </c>
      <c r="T51" s="139"/>
      <c r="U51" s="133"/>
      <c r="V51" s="133">
        <v>1595.25</v>
      </c>
      <c r="W51" s="135">
        <v>3104.75</v>
      </c>
      <c r="X51" s="133">
        <v>1700</v>
      </c>
      <c r="Y51" s="133"/>
      <c r="Z51" s="136"/>
    </row>
    <row r="52" spans="1:26" s="137" customFormat="1" ht="14.45" x14ac:dyDescent="0.3">
      <c r="A52" s="4" t="s">
        <v>24</v>
      </c>
      <c r="B52" s="73" t="s">
        <v>58</v>
      </c>
      <c r="C52" s="73" t="s">
        <v>25</v>
      </c>
      <c r="D52" s="73"/>
      <c r="E52" s="130">
        <v>11</v>
      </c>
      <c r="F52" s="163" t="s">
        <v>117</v>
      </c>
      <c r="G52" s="141">
        <v>113.34</v>
      </c>
      <c r="H52" s="132">
        <v>1700.1000000000001</v>
      </c>
      <c r="I52" s="131"/>
      <c r="J52" s="133"/>
      <c r="K52" s="149"/>
      <c r="L52" s="139">
        <v>893.38000000000011</v>
      </c>
      <c r="M52" s="133"/>
      <c r="N52" s="133"/>
      <c r="O52" s="133">
        <v>2593.4800000000005</v>
      </c>
      <c r="P52" s="139">
        <v>178.09</v>
      </c>
      <c r="Q52" s="133"/>
      <c r="R52" s="141"/>
      <c r="S52" s="141"/>
      <c r="T52" s="133"/>
      <c r="U52" s="133"/>
      <c r="V52" s="133">
        <v>178.09</v>
      </c>
      <c r="W52" s="135">
        <v>2415.3900000000003</v>
      </c>
      <c r="X52" s="133">
        <v>893.38000000000011</v>
      </c>
      <c r="Y52" s="133"/>
      <c r="Z52" s="136"/>
    </row>
    <row r="53" spans="1:26" s="137" customFormat="1" ht="14.45" x14ac:dyDescent="0.3">
      <c r="A53" s="4" t="s">
        <v>24</v>
      </c>
      <c r="B53" s="73" t="s">
        <v>58</v>
      </c>
      <c r="C53" s="73" t="s">
        <v>25</v>
      </c>
      <c r="D53" s="73"/>
      <c r="E53" s="148">
        <v>12</v>
      </c>
      <c r="F53" s="173" t="s">
        <v>234</v>
      </c>
      <c r="G53" s="149">
        <v>113.34</v>
      </c>
      <c r="H53" s="132">
        <v>1700.1000000000001</v>
      </c>
      <c r="I53" s="131"/>
      <c r="J53" s="149"/>
      <c r="K53" s="149"/>
      <c r="L53" s="139">
        <v>893.38000000000011</v>
      </c>
      <c r="M53" s="149"/>
      <c r="N53" s="149"/>
      <c r="O53" s="133">
        <v>2593.4800000000005</v>
      </c>
      <c r="P53" s="149">
        <v>178.09</v>
      </c>
      <c r="Q53" s="149"/>
      <c r="R53" s="151"/>
      <c r="S53" s="151"/>
      <c r="T53" s="149"/>
      <c r="U53" s="149"/>
      <c r="V53" s="149">
        <v>178.09</v>
      </c>
      <c r="W53" s="135">
        <v>2415.3900000000003</v>
      </c>
      <c r="X53" s="133">
        <v>893.38000000000011</v>
      </c>
      <c r="Y53" s="133"/>
      <c r="Z53" s="136"/>
    </row>
    <row r="54" spans="1:26" s="137" customFormat="1" ht="14.45" x14ac:dyDescent="0.3">
      <c r="A54" s="4" t="s">
        <v>24</v>
      </c>
      <c r="B54" s="73" t="s">
        <v>58</v>
      </c>
      <c r="C54" s="73" t="s">
        <v>25</v>
      </c>
      <c r="D54" s="73"/>
      <c r="E54" s="148">
        <v>12</v>
      </c>
      <c r="F54" s="173" t="s">
        <v>242</v>
      </c>
      <c r="G54" s="149">
        <v>138.68</v>
      </c>
      <c r="H54" s="132">
        <v>2080.2000000000003</v>
      </c>
      <c r="I54" s="131"/>
      <c r="J54" s="149"/>
      <c r="K54" s="149">
        <v>138.68</v>
      </c>
      <c r="L54" s="139">
        <v>0</v>
      </c>
      <c r="M54" s="149"/>
      <c r="N54" s="149"/>
      <c r="O54" s="133">
        <v>2218.88</v>
      </c>
      <c r="P54" s="149">
        <v>137.33000000000001</v>
      </c>
      <c r="Q54" s="149"/>
      <c r="R54" s="151"/>
      <c r="S54" s="151"/>
      <c r="T54" s="149"/>
      <c r="U54" s="149"/>
      <c r="V54" s="149">
        <v>137.33000000000001</v>
      </c>
      <c r="W54" s="135">
        <v>2081.5500000000002</v>
      </c>
      <c r="X54" s="133">
        <v>0</v>
      </c>
      <c r="Y54" s="133"/>
      <c r="Z54" s="136"/>
    </row>
    <row r="55" spans="1:26" s="137" customFormat="1" ht="14.45" x14ac:dyDescent="0.3">
      <c r="A55" s="4" t="s">
        <v>24</v>
      </c>
      <c r="B55" s="73" t="s">
        <v>58</v>
      </c>
      <c r="C55" s="73" t="s">
        <v>25</v>
      </c>
      <c r="D55" s="73"/>
      <c r="E55" s="148">
        <v>12</v>
      </c>
      <c r="F55" s="173" t="s">
        <v>293</v>
      </c>
      <c r="G55" s="149"/>
      <c r="H55" s="132"/>
      <c r="I55" s="131"/>
      <c r="J55" s="149"/>
      <c r="K55" s="149"/>
      <c r="L55" s="139">
        <v>0</v>
      </c>
      <c r="M55" s="149"/>
      <c r="N55" s="149"/>
      <c r="O55" s="133"/>
      <c r="P55" s="149"/>
      <c r="Q55" s="149"/>
      <c r="R55" s="151"/>
      <c r="S55" s="151"/>
      <c r="T55" s="149"/>
      <c r="U55" s="149"/>
      <c r="V55" s="149"/>
      <c r="W55" s="135"/>
      <c r="X55" s="133">
        <v>0</v>
      </c>
      <c r="Y55" s="133"/>
      <c r="Z55" s="136"/>
    </row>
    <row r="56" spans="1:26" ht="14.45" x14ac:dyDescent="0.3">
      <c r="A56" s="4" t="s">
        <v>119</v>
      </c>
      <c r="B56" s="4" t="s">
        <v>58</v>
      </c>
      <c r="C56" s="4" t="s">
        <v>30</v>
      </c>
      <c r="D56" s="4"/>
      <c r="E56" s="175">
        <v>1</v>
      </c>
      <c r="F56" s="133" t="s">
        <v>120</v>
      </c>
      <c r="G56" s="133">
        <v>100.02</v>
      </c>
      <c r="H56" s="133">
        <f>G56*15</f>
        <v>1500.3</v>
      </c>
      <c r="I56" s="133"/>
      <c r="J56" s="133"/>
      <c r="K56" s="133"/>
      <c r="L56" s="139">
        <f t="shared" ref="L56:L65" si="0">X56+Y56</f>
        <v>100</v>
      </c>
      <c r="M56" s="133"/>
      <c r="N56" s="133"/>
      <c r="O56" s="133">
        <f>SUM(H56:N56)</f>
        <v>1600.3</v>
      </c>
      <c r="P56" s="133">
        <v>85</v>
      </c>
      <c r="Q56" s="133"/>
      <c r="R56" s="141">
        <v>36.06</v>
      </c>
      <c r="S56" s="141"/>
      <c r="T56" s="133"/>
      <c r="U56" s="133"/>
      <c r="V56" s="133">
        <f>SUM(P56:U56)</f>
        <v>121.06</v>
      </c>
      <c r="W56" s="176">
        <f t="shared" ref="W56:W67" si="1">O56-V56</f>
        <v>1479.24</v>
      </c>
      <c r="X56" s="177">
        <v>100</v>
      </c>
      <c r="Y56" s="133">
        <v>0</v>
      </c>
    </row>
    <row r="57" spans="1:26" ht="14.45" x14ac:dyDescent="0.3">
      <c r="A57" s="4" t="s">
        <v>119</v>
      </c>
      <c r="B57" s="73" t="s">
        <v>58</v>
      </c>
      <c r="C57" s="73" t="s">
        <v>17</v>
      </c>
      <c r="D57" s="73"/>
      <c r="E57" s="178">
        <v>2</v>
      </c>
      <c r="F57" s="133" t="s">
        <v>121</v>
      </c>
      <c r="G57" s="133">
        <v>100.02</v>
      </c>
      <c r="H57" s="133">
        <f t="shared" ref="H57:H67" si="2">G57*15</f>
        <v>1500.3</v>
      </c>
      <c r="I57" s="133"/>
      <c r="J57" s="133">
        <f t="shared" ref="J57:J61" si="3">G57*2</f>
        <v>200.04</v>
      </c>
      <c r="K57" s="140"/>
      <c r="L57" s="139">
        <f t="shared" si="0"/>
        <v>100</v>
      </c>
      <c r="M57" s="133"/>
      <c r="N57" s="133"/>
      <c r="O57" s="133">
        <f t="shared" ref="O57:O67" si="4">SUM(H57:N57)</f>
        <v>1800.34</v>
      </c>
      <c r="P57" s="133">
        <v>104.2</v>
      </c>
      <c r="Q57" s="133">
        <v>0</v>
      </c>
      <c r="R57" s="141"/>
      <c r="S57" s="141"/>
      <c r="T57" s="133"/>
      <c r="U57" s="133"/>
      <c r="V57" s="133">
        <f t="shared" ref="V57:V66" si="5">SUM(P57:U57)</f>
        <v>104.2</v>
      </c>
      <c r="W57" s="176">
        <f t="shared" si="1"/>
        <v>1696.1399999999999</v>
      </c>
      <c r="X57" s="133">
        <v>100</v>
      </c>
      <c r="Y57" s="133">
        <v>0</v>
      </c>
    </row>
    <row r="58" spans="1:26" ht="14.45" x14ac:dyDescent="0.3">
      <c r="A58" s="4" t="s">
        <v>119</v>
      </c>
      <c r="B58" s="73" t="s">
        <v>58</v>
      </c>
      <c r="C58" s="73" t="s">
        <v>25</v>
      </c>
      <c r="D58" s="73"/>
      <c r="E58" s="178">
        <v>3</v>
      </c>
      <c r="F58" s="132" t="s">
        <v>122</v>
      </c>
      <c r="G58" s="132">
        <v>100.02</v>
      </c>
      <c r="H58" s="133">
        <f t="shared" si="2"/>
        <v>1500.3</v>
      </c>
      <c r="I58" s="133"/>
      <c r="J58" s="133">
        <f t="shared" si="3"/>
        <v>200.04</v>
      </c>
      <c r="K58" s="140"/>
      <c r="L58" s="139">
        <f t="shared" si="0"/>
        <v>100</v>
      </c>
      <c r="M58" s="132"/>
      <c r="N58" s="133"/>
      <c r="O58" s="133">
        <f t="shared" si="4"/>
        <v>1800.34</v>
      </c>
      <c r="P58" s="133">
        <v>104.2</v>
      </c>
      <c r="Q58" s="133"/>
      <c r="R58" s="141">
        <v>36.06</v>
      </c>
      <c r="S58" s="141"/>
      <c r="T58" s="133"/>
      <c r="U58" s="133"/>
      <c r="V58" s="133">
        <f t="shared" si="5"/>
        <v>140.26</v>
      </c>
      <c r="W58" s="176">
        <f t="shared" si="1"/>
        <v>1660.08</v>
      </c>
      <c r="X58" s="132">
        <v>100</v>
      </c>
      <c r="Y58" s="132">
        <v>0</v>
      </c>
    </row>
    <row r="59" spans="1:26" ht="14.45" x14ac:dyDescent="0.3">
      <c r="A59" s="4" t="s">
        <v>119</v>
      </c>
      <c r="B59" s="73" t="s">
        <v>58</v>
      </c>
      <c r="C59" s="73" t="s">
        <v>25</v>
      </c>
      <c r="D59" s="73"/>
      <c r="E59" s="178">
        <v>5</v>
      </c>
      <c r="F59" s="132" t="s">
        <v>123</v>
      </c>
      <c r="G59" s="132">
        <v>100.02</v>
      </c>
      <c r="H59" s="133">
        <f t="shared" si="2"/>
        <v>1500.3</v>
      </c>
      <c r="I59" s="133"/>
      <c r="J59" s="133">
        <f t="shared" si="3"/>
        <v>200.04</v>
      </c>
      <c r="K59" s="140"/>
      <c r="L59" s="139">
        <f t="shared" si="0"/>
        <v>100</v>
      </c>
      <c r="M59" s="132"/>
      <c r="N59" s="133"/>
      <c r="O59" s="133">
        <f t="shared" si="4"/>
        <v>1800.34</v>
      </c>
      <c r="P59" s="133"/>
      <c r="Q59" s="133"/>
      <c r="R59" s="141">
        <v>36.06</v>
      </c>
      <c r="S59" s="141"/>
      <c r="T59" s="133"/>
      <c r="U59" s="133"/>
      <c r="V59" s="133">
        <f t="shared" si="5"/>
        <v>36.06</v>
      </c>
      <c r="W59" s="176">
        <f t="shared" si="1"/>
        <v>1764.28</v>
      </c>
      <c r="X59" s="132">
        <v>100</v>
      </c>
      <c r="Y59" s="132">
        <v>0</v>
      </c>
    </row>
    <row r="60" spans="1:26" ht="14.45" x14ac:dyDescent="0.3">
      <c r="A60" s="4" t="s">
        <v>119</v>
      </c>
      <c r="B60" s="73" t="s">
        <v>67</v>
      </c>
      <c r="C60" s="73" t="s">
        <v>124</v>
      </c>
      <c r="D60" s="73"/>
      <c r="E60" s="178">
        <v>6</v>
      </c>
      <c r="F60" s="131" t="s">
        <v>125</v>
      </c>
      <c r="G60" s="131">
        <v>569.58000000000004</v>
      </c>
      <c r="H60" s="133">
        <f t="shared" si="2"/>
        <v>8543.7000000000007</v>
      </c>
      <c r="I60" s="133"/>
      <c r="J60" s="133">
        <f t="shared" si="3"/>
        <v>1139.1600000000001</v>
      </c>
      <c r="K60" s="140"/>
      <c r="L60" s="139">
        <f t="shared" si="0"/>
        <v>1000</v>
      </c>
      <c r="M60" s="131"/>
      <c r="N60" s="133"/>
      <c r="O60" s="133">
        <f t="shared" si="4"/>
        <v>10682.86</v>
      </c>
      <c r="P60" s="139">
        <v>1743.92</v>
      </c>
      <c r="Q60" s="139"/>
      <c r="R60" s="156"/>
      <c r="S60" s="156"/>
      <c r="T60" s="139"/>
      <c r="U60" s="139"/>
      <c r="V60" s="133">
        <f t="shared" si="5"/>
        <v>1743.92</v>
      </c>
      <c r="W60" s="176">
        <f t="shared" si="1"/>
        <v>8938.94</v>
      </c>
      <c r="X60" s="132">
        <v>1000</v>
      </c>
      <c r="Y60" s="131">
        <v>0</v>
      </c>
    </row>
    <row r="61" spans="1:26" ht="14.45" x14ac:dyDescent="0.3">
      <c r="A61" s="4" t="s">
        <v>119</v>
      </c>
      <c r="B61" s="73" t="s">
        <v>58</v>
      </c>
      <c r="C61" s="73" t="s">
        <v>17</v>
      </c>
      <c r="D61" s="73"/>
      <c r="E61" s="178">
        <v>7</v>
      </c>
      <c r="F61" s="131" t="s">
        <v>126</v>
      </c>
      <c r="G61" s="131">
        <v>219.71</v>
      </c>
      <c r="H61" s="133">
        <f t="shared" si="2"/>
        <v>3295.65</v>
      </c>
      <c r="I61" s="133"/>
      <c r="J61" s="133">
        <f t="shared" si="3"/>
        <v>439.42</v>
      </c>
      <c r="K61" s="140"/>
      <c r="L61" s="139">
        <f t="shared" si="0"/>
        <v>850</v>
      </c>
      <c r="M61" s="131">
        <f>G61*10</f>
        <v>2197.1</v>
      </c>
      <c r="N61" s="133"/>
      <c r="O61" s="133">
        <f t="shared" si="4"/>
        <v>6782.17</v>
      </c>
      <c r="P61" s="139">
        <v>901.48</v>
      </c>
      <c r="Q61" s="139"/>
      <c r="R61" s="156">
        <v>36.1</v>
      </c>
      <c r="S61" s="156"/>
      <c r="T61" s="139"/>
      <c r="U61" s="139"/>
      <c r="V61" s="133">
        <f t="shared" si="5"/>
        <v>937.58</v>
      </c>
      <c r="W61" s="176">
        <f t="shared" si="1"/>
        <v>5844.59</v>
      </c>
      <c r="X61" s="132">
        <v>850</v>
      </c>
      <c r="Y61" s="131"/>
    </row>
    <row r="62" spans="1:26" ht="14.45" x14ac:dyDescent="0.3">
      <c r="A62" s="4" t="s">
        <v>119</v>
      </c>
      <c r="B62" s="73" t="s">
        <v>58</v>
      </c>
      <c r="C62" s="73" t="s">
        <v>17</v>
      </c>
      <c r="D62" s="73"/>
      <c r="E62" s="178">
        <v>8</v>
      </c>
      <c r="F62" s="133" t="s">
        <v>127</v>
      </c>
      <c r="G62" s="133">
        <v>100.09</v>
      </c>
      <c r="H62" s="133">
        <f t="shared" si="2"/>
        <v>1501.3500000000001</v>
      </c>
      <c r="I62" s="133"/>
      <c r="J62" s="133"/>
      <c r="K62" s="140"/>
      <c r="L62" s="139">
        <f t="shared" si="0"/>
        <v>100</v>
      </c>
      <c r="M62" s="133"/>
      <c r="N62" s="133"/>
      <c r="O62" s="133">
        <f t="shared" si="4"/>
        <v>1601.3500000000001</v>
      </c>
      <c r="P62" s="139"/>
      <c r="Q62" s="133"/>
      <c r="R62" s="141">
        <v>36.1</v>
      </c>
      <c r="S62" s="141"/>
      <c r="T62" s="133"/>
      <c r="U62" s="133"/>
      <c r="V62" s="133">
        <f t="shared" si="5"/>
        <v>36.1</v>
      </c>
      <c r="W62" s="176">
        <f t="shared" si="1"/>
        <v>1565.2500000000002</v>
      </c>
      <c r="X62" s="132">
        <v>100</v>
      </c>
      <c r="Y62" s="135"/>
    </row>
    <row r="63" spans="1:26" ht="14.45" x14ac:dyDescent="0.3">
      <c r="A63" s="4" t="s">
        <v>119</v>
      </c>
      <c r="B63" s="73" t="s">
        <v>58</v>
      </c>
      <c r="C63" s="73" t="s">
        <v>17</v>
      </c>
      <c r="D63" s="73"/>
      <c r="E63" s="178">
        <v>9</v>
      </c>
      <c r="F63" s="133" t="s">
        <v>128</v>
      </c>
      <c r="G63" s="133">
        <v>124.80000000000001</v>
      </c>
      <c r="H63" s="133">
        <f t="shared" si="2"/>
        <v>1872.0000000000002</v>
      </c>
      <c r="I63" s="133"/>
      <c r="J63" s="133">
        <f t="shared" ref="J63" si="6">G63*2</f>
        <v>249.60000000000002</v>
      </c>
      <c r="K63" s="140"/>
      <c r="L63" s="139">
        <f t="shared" si="0"/>
        <v>100</v>
      </c>
      <c r="M63" s="133"/>
      <c r="N63" s="133"/>
      <c r="O63" s="133">
        <f t="shared" si="4"/>
        <v>2221.6000000000004</v>
      </c>
      <c r="P63" s="139">
        <v>137.63</v>
      </c>
      <c r="Q63" s="133"/>
      <c r="R63" s="141">
        <v>45</v>
      </c>
      <c r="S63" s="141"/>
      <c r="T63" s="133"/>
      <c r="U63" s="133"/>
      <c r="V63" s="133">
        <f t="shared" si="5"/>
        <v>182.63</v>
      </c>
      <c r="W63" s="176">
        <f t="shared" si="1"/>
        <v>2038.9700000000003</v>
      </c>
      <c r="X63" s="132">
        <v>100</v>
      </c>
      <c r="Y63" s="135"/>
    </row>
    <row r="64" spans="1:26" ht="14.45" x14ac:dyDescent="0.3">
      <c r="A64" s="4" t="s">
        <v>119</v>
      </c>
      <c r="B64" s="73" t="s">
        <v>58</v>
      </c>
      <c r="C64" s="73" t="s">
        <v>25</v>
      </c>
      <c r="D64" s="73"/>
      <c r="E64" s="178">
        <v>10</v>
      </c>
      <c r="F64" s="132" t="s">
        <v>129</v>
      </c>
      <c r="G64" s="132">
        <v>100.02</v>
      </c>
      <c r="H64" s="133">
        <f t="shared" si="2"/>
        <v>1500.3</v>
      </c>
      <c r="I64" s="133"/>
      <c r="J64" s="133">
        <f>G64*2</f>
        <v>200.04</v>
      </c>
      <c r="K64" s="140"/>
      <c r="L64" s="139">
        <f t="shared" si="0"/>
        <v>100</v>
      </c>
      <c r="M64" s="132"/>
      <c r="N64" s="133"/>
      <c r="O64" s="133">
        <f t="shared" si="4"/>
        <v>1800.34</v>
      </c>
      <c r="P64" s="133">
        <v>104.2</v>
      </c>
      <c r="Q64" s="133"/>
      <c r="R64" s="141"/>
      <c r="S64" s="141"/>
      <c r="T64" s="133"/>
      <c r="U64" s="133"/>
      <c r="V64" s="133">
        <f t="shared" si="5"/>
        <v>104.2</v>
      </c>
      <c r="W64" s="176">
        <f t="shared" si="1"/>
        <v>1696.1399999999999</v>
      </c>
      <c r="X64" s="132">
        <v>100</v>
      </c>
      <c r="Y64" s="132">
        <v>0</v>
      </c>
    </row>
    <row r="65" spans="1:25" ht="14.45" x14ac:dyDescent="0.3">
      <c r="A65" s="4" t="s">
        <v>119</v>
      </c>
      <c r="B65" s="73" t="s">
        <v>58</v>
      </c>
      <c r="C65" s="73" t="s">
        <v>25</v>
      </c>
      <c r="D65" s="73"/>
      <c r="E65" s="178">
        <v>11</v>
      </c>
      <c r="F65" s="133" t="s">
        <v>130</v>
      </c>
      <c r="G65" s="133">
        <v>100.02</v>
      </c>
      <c r="H65" s="133">
        <f t="shared" si="2"/>
        <v>1500.3</v>
      </c>
      <c r="I65" s="133"/>
      <c r="J65" s="133">
        <f>G65*2</f>
        <v>200.04</v>
      </c>
      <c r="K65" s="140"/>
      <c r="L65" s="139">
        <f t="shared" si="0"/>
        <v>100</v>
      </c>
      <c r="M65" s="133">
        <f>G65*6</f>
        <v>600.12</v>
      </c>
      <c r="N65" s="133"/>
      <c r="O65" s="133">
        <f t="shared" si="4"/>
        <v>2400.46</v>
      </c>
      <c r="P65" s="133">
        <v>157.04</v>
      </c>
      <c r="Q65" s="133"/>
      <c r="R65" s="141">
        <v>45</v>
      </c>
      <c r="S65" s="141"/>
      <c r="T65" s="133"/>
      <c r="U65" s="133"/>
      <c r="V65" s="133">
        <f t="shared" si="5"/>
        <v>202.04</v>
      </c>
      <c r="W65" s="176">
        <f t="shared" si="1"/>
        <v>2198.42</v>
      </c>
      <c r="X65" s="132">
        <v>100</v>
      </c>
      <c r="Y65" s="135"/>
    </row>
    <row r="66" spans="1:25" s="118" customFormat="1" ht="14.45" x14ac:dyDescent="0.3">
      <c r="A66" s="179" t="s">
        <v>119</v>
      </c>
      <c r="B66" s="73" t="s">
        <v>58</v>
      </c>
      <c r="C66" s="180" t="s">
        <v>12</v>
      </c>
      <c r="D66" s="180"/>
      <c r="E66" s="181">
        <v>12</v>
      </c>
      <c r="F66" s="149" t="s">
        <v>131</v>
      </c>
      <c r="G66" s="149">
        <v>216.66</v>
      </c>
      <c r="H66" s="149">
        <f t="shared" si="2"/>
        <v>3249.9</v>
      </c>
      <c r="I66" s="133"/>
      <c r="J66" s="150"/>
      <c r="K66" s="182"/>
      <c r="L66" s="139">
        <v>200</v>
      </c>
      <c r="M66" s="149"/>
      <c r="N66" s="149"/>
      <c r="O66" s="133">
        <f t="shared" si="4"/>
        <v>3449.9</v>
      </c>
      <c r="P66" s="149">
        <v>249.51</v>
      </c>
      <c r="Q66" s="149">
        <v>200</v>
      </c>
      <c r="R66" s="151"/>
      <c r="S66" s="151"/>
      <c r="T66" s="149"/>
      <c r="U66" s="149"/>
      <c r="V66" s="133">
        <f t="shared" si="5"/>
        <v>449.51</v>
      </c>
      <c r="W66" s="176">
        <f t="shared" si="1"/>
        <v>3000.3900000000003</v>
      </c>
      <c r="X66" s="183"/>
      <c r="Y66" s="183"/>
    </row>
    <row r="67" spans="1:25" s="118" customFormat="1" ht="14.45" x14ac:dyDescent="0.3">
      <c r="A67" s="179" t="s">
        <v>119</v>
      </c>
      <c r="B67" s="73" t="s">
        <v>58</v>
      </c>
      <c r="C67" s="180" t="s">
        <v>12</v>
      </c>
      <c r="D67" s="180"/>
      <c r="E67" s="181">
        <v>12</v>
      </c>
      <c r="F67" s="149" t="s">
        <v>235</v>
      </c>
      <c r="G67" s="132">
        <v>100.02</v>
      </c>
      <c r="H67" s="149">
        <f t="shared" si="2"/>
        <v>1500.3</v>
      </c>
      <c r="I67" s="133"/>
      <c r="J67" s="150">
        <f>G67*2</f>
        <v>200.04</v>
      </c>
      <c r="K67" s="182"/>
      <c r="L67" s="139">
        <f>G67</f>
        <v>100.02</v>
      </c>
      <c r="M67" s="149"/>
      <c r="N67" s="149"/>
      <c r="O67" s="133">
        <f t="shared" si="4"/>
        <v>1800.36</v>
      </c>
      <c r="P67" s="133">
        <v>104.21</v>
      </c>
      <c r="Q67" s="149"/>
      <c r="R67" s="151"/>
      <c r="S67" s="151"/>
      <c r="T67" s="149"/>
      <c r="U67" s="149"/>
      <c r="V67" s="133">
        <f>SUM(P67:U67)</f>
        <v>104.21</v>
      </c>
      <c r="W67" s="176">
        <f t="shared" si="1"/>
        <v>1696.1499999999999</v>
      </c>
      <c r="X67" s="183"/>
      <c r="Y67" s="183"/>
    </row>
    <row r="68" spans="1:25" s="118" customFormat="1" ht="14.45" x14ac:dyDescent="0.3">
      <c r="A68" s="2"/>
      <c r="B68" s="2"/>
      <c r="C68" s="2"/>
      <c r="D68" s="2"/>
      <c r="E68" s="2"/>
      <c r="F68" s="2"/>
      <c r="G68" s="43"/>
      <c r="H68" s="43"/>
      <c r="I68" s="43"/>
      <c r="J68" s="43"/>
      <c r="K68" s="185"/>
      <c r="L68" s="43"/>
      <c r="M68" s="43"/>
      <c r="N68" s="43"/>
      <c r="O68" s="43"/>
      <c r="P68" s="43"/>
      <c r="Q68" s="43"/>
      <c r="R68" s="186"/>
      <c r="S68" s="186"/>
      <c r="T68" s="43"/>
      <c r="U68" s="43"/>
      <c r="V68" s="43"/>
      <c r="W68" s="185" t="e">
        <f>#REF!+'[1]BASE '!AB55</f>
        <v>#REF!</v>
      </c>
      <c r="X68" s="2"/>
      <c r="Y68" s="2"/>
    </row>
    <row r="69" spans="1:25" s="118" customFormat="1" ht="11.25" customHeight="1" x14ac:dyDescent="0.3">
      <c r="A69" s="2"/>
      <c r="B69" s="2"/>
      <c r="C69" s="2"/>
      <c r="D69" s="2"/>
      <c r="E69" s="2"/>
      <c r="F69" s="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186"/>
      <c r="S69" s="186"/>
      <c r="T69" s="185"/>
      <c r="U69" s="43"/>
      <c r="V69" s="43"/>
      <c r="W69" s="185"/>
      <c r="X69" s="2"/>
      <c r="Y69" s="2"/>
    </row>
    <row r="70" spans="1:25" s="118" customFormat="1" ht="11.25" customHeight="1" x14ac:dyDescent="0.3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43"/>
      <c r="Q70" s="106"/>
      <c r="R70" s="106"/>
      <c r="S70" s="106"/>
      <c r="T70" s="106"/>
      <c r="U70" s="106"/>
      <c r="V70" s="106"/>
      <c r="W70" s="106"/>
      <c r="X70" s="106"/>
      <c r="Y70" s="106"/>
    </row>
    <row r="71" spans="1:25" s="118" customFormat="1" ht="11.25" customHeight="1" x14ac:dyDescent="0.3">
      <c r="A71" s="2"/>
      <c r="B71" s="2"/>
      <c r="C71" s="2"/>
      <c r="D71" s="2"/>
      <c r="E71" s="2"/>
      <c r="F71" s="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186"/>
      <c r="S71" s="186"/>
      <c r="T71" s="185"/>
      <c r="U71" s="43"/>
      <c r="V71" s="43"/>
      <c r="W71" s="43"/>
      <c r="X71" s="2"/>
      <c r="Y71" s="2"/>
    </row>
    <row r="72" spans="1:25" s="118" customFormat="1" ht="11.25" customHeight="1" x14ac:dyDescent="0.3">
      <c r="A72" s="2"/>
      <c r="B72" s="2"/>
      <c r="C72" s="2"/>
      <c r="D72" s="2"/>
      <c r="E72" s="2"/>
      <c r="F72" s="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186"/>
      <c r="S72" s="186"/>
      <c r="T72" s="43"/>
      <c r="U72" s="43"/>
      <c r="V72" s="43"/>
      <c r="W72" s="43"/>
      <c r="X72" s="2"/>
      <c r="Y72" s="2"/>
    </row>
    <row r="73" spans="1:25" s="118" customFormat="1" ht="11.25" customHeight="1" x14ac:dyDescent="0.3">
      <c r="A73" s="2"/>
      <c r="B73" s="2"/>
      <c r="C73" s="2"/>
      <c r="D73" s="2"/>
      <c r="E73" s="2"/>
      <c r="F73" s="2"/>
      <c r="G73" s="43"/>
      <c r="H73" s="43"/>
      <c r="I73" s="43"/>
      <c r="J73" s="43"/>
      <c r="K73" s="43"/>
      <c r="L73" s="43"/>
      <c r="M73" s="43"/>
      <c r="N73" s="43"/>
      <c r="O73" s="43"/>
      <c r="P73" s="106"/>
      <c r="Q73" s="43"/>
      <c r="R73" s="186"/>
      <c r="S73" s="186"/>
      <c r="T73" s="43"/>
      <c r="U73" s="43"/>
      <c r="V73" s="43"/>
      <c r="W73" s="43"/>
      <c r="X73" s="2"/>
      <c r="Y73" s="2"/>
    </row>
    <row r="74" spans="1:25" s="118" customFormat="1" ht="11.25" customHeight="1" x14ac:dyDescent="0.3">
      <c r="A74" s="2"/>
      <c r="B74" s="2"/>
      <c r="C74" s="2"/>
      <c r="D74" s="2"/>
      <c r="E74" s="2"/>
      <c r="F74" s="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186"/>
      <c r="S74" s="186"/>
      <c r="T74" s="43"/>
      <c r="U74" s="43"/>
      <c r="V74" s="43"/>
      <c r="W74" s="43"/>
      <c r="X74" s="2"/>
      <c r="Y74" s="2"/>
    </row>
    <row r="75" spans="1:25" s="118" customFormat="1" ht="11.25" customHeight="1" x14ac:dyDescent="0.25">
      <c r="A75" s="2"/>
      <c r="B75" s="2"/>
      <c r="C75" s="2"/>
      <c r="D75" s="2"/>
      <c r="E75" s="2"/>
      <c r="F75" s="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186"/>
      <c r="S75" s="186"/>
      <c r="T75" s="43"/>
      <c r="U75" s="43"/>
      <c r="V75" s="43"/>
      <c r="W75" s="43"/>
      <c r="X75" s="2"/>
      <c r="Y75" s="2"/>
    </row>
    <row r="76" spans="1:25" s="118" customFormat="1" ht="11.25" customHeight="1" x14ac:dyDescent="0.25">
      <c r="A76" s="2"/>
      <c r="B76" s="2"/>
      <c r="C76" s="2"/>
      <c r="D76" s="2"/>
      <c r="E76" s="2"/>
      <c r="F76" s="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186"/>
      <c r="S76" s="186"/>
      <c r="T76" s="43"/>
      <c r="U76" s="43"/>
      <c r="V76" s="43"/>
      <c r="W76" s="43"/>
      <c r="X76" s="2"/>
      <c r="Y76" s="2"/>
    </row>
    <row r="77" spans="1:25" s="118" customFormat="1" ht="11.25" customHeight="1" x14ac:dyDescent="0.25">
      <c r="A77" s="2"/>
      <c r="B77" s="2"/>
      <c r="C77" s="2"/>
      <c r="D77" s="2"/>
      <c r="E77" s="2"/>
      <c r="F77" s="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186"/>
      <c r="S77" s="186"/>
      <c r="T77" s="43"/>
      <c r="U77" s="43"/>
      <c r="V77" s="43"/>
      <c r="W77" s="43"/>
      <c r="X77" s="2"/>
      <c r="Y77" s="2"/>
    </row>
    <row r="81" spans="6:26" s="2" customFormat="1" x14ac:dyDescent="0.25"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186"/>
      <c r="S81" s="186"/>
      <c r="T81" s="43"/>
      <c r="U81" s="43"/>
      <c r="V81" s="43"/>
      <c r="W81" s="43"/>
      <c r="Z81" s="118"/>
    </row>
    <row r="82" spans="6:26" s="2" customFormat="1" x14ac:dyDescent="0.25"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186"/>
      <c r="S82" s="186"/>
      <c r="T82" s="43"/>
      <c r="U82" s="43"/>
      <c r="V82" s="43"/>
      <c r="W82" s="43"/>
      <c r="Z82" s="118"/>
    </row>
    <row r="83" spans="6:26" s="2" customFormat="1" x14ac:dyDescent="0.25"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186"/>
      <c r="S83" s="186"/>
      <c r="T83" s="43"/>
      <c r="U83" s="43"/>
      <c r="V83" s="43"/>
      <c r="W83" s="43"/>
      <c r="Z83" s="118"/>
    </row>
    <row r="84" spans="6:26" s="2" customFormat="1" x14ac:dyDescent="0.25"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186"/>
      <c r="S84" s="186"/>
      <c r="T84" s="43"/>
      <c r="U84" s="43"/>
      <c r="V84" s="43"/>
      <c r="W84" s="43"/>
      <c r="Z84" s="118"/>
    </row>
    <row r="85" spans="6:26" s="2" customFormat="1" x14ac:dyDescent="0.25"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186"/>
      <c r="S85" s="186"/>
      <c r="T85" s="43"/>
      <c r="U85" s="43"/>
      <c r="V85" s="43"/>
      <c r="W85" s="43"/>
      <c r="Z85" s="118"/>
    </row>
    <row r="86" spans="6:26" s="2" customFormat="1" x14ac:dyDescent="0.25"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186"/>
      <c r="S86" s="186"/>
      <c r="T86" s="43"/>
      <c r="U86" s="43"/>
      <c r="V86" s="43"/>
      <c r="W86" s="43"/>
      <c r="Z86" s="118"/>
    </row>
    <row r="96" spans="6:26" s="2" customFormat="1" ht="15.75" thickBot="1" x14ac:dyDescent="0.3">
      <c r="F96" s="2" t="s">
        <v>289</v>
      </c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186"/>
      <c r="S96" s="186"/>
      <c r="T96" s="43"/>
      <c r="U96" s="43"/>
      <c r="V96" s="43"/>
      <c r="W96" s="43"/>
      <c r="Z96" s="118"/>
    </row>
    <row r="97" spans="1:25" s="118" customFormat="1" ht="33" customHeight="1" thickBot="1" x14ac:dyDescent="0.3">
      <c r="A97" s="123" t="s">
        <v>279</v>
      </c>
      <c r="B97" s="67" t="s">
        <v>249</v>
      </c>
      <c r="C97" s="67" t="s">
        <v>250</v>
      </c>
      <c r="D97" s="67" t="s">
        <v>251</v>
      </c>
      <c r="E97" s="124" t="s">
        <v>0</v>
      </c>
      <c r="F97" s="125" t="s">
        <v>280</v>
      </c>
      <c r="G97" s="126" t="s">
        <v>281</v>
      </c>
      <c r="H97" s="126" t="s">
        <v>254</v>
      </c>
      <c r="I97" s="126" t="s">
        <v>257</v>
      </c>
      <c r="J97" s="126" t="s">
        <v>261</v>
      </c>
      <c r="K97" s="126" t="s">
        <v>282</v>
      </c>
      <c r="L97" s="126" t="s">
        <v>283</v>
      </c>
      <c r="M97" s="174" t="s">
        <v>264</v>
      </c>
      <c r="N97" s="126" t="s">
        <v>265</v>
      </c>
      <c r="O97" s="126" t="s">
        <v>55</v>
      </c>
      <c r="P97" s="126" t="s">
        <v>1</v>
      </c>
      <c r="Q97" s="126" t="s">
        <v>284</v>
      </c>
      <c r="R97" s="128" t="s">
        <v>56</v>
      </c>
      <c r="S97" s="128"/>
      <c r="T97" s="126" t="s">
        <v>285</v>
      </c>
      <c r="U97" s="126" t="s">
        <v>286</v>
      </c>
      <c r="V97" s="126" t="s">
        <v>272</v>
      </c>
      <c r="W97" s="126" t="s">
        <v>273</v>
      </c>
      <c r="X97" s="126" t="s">
        <v>287</v>
      </c>
      <c r="Y97" s="126" t="s">
        <v>288</v>
      </c>
    </row>
    <row r="98" spans="1:25" s="118" customFormat="1" ht="9" customHeight="1" x14ac:dyDescent="0.25">
      <c r="A98" s="4" t="s">
        <v>24</v>
      </c>
      <c r="B98" s="73" t="s">
        <v>58</v>
      </c>
      <c r="C98" s="73" t="s">
        <v>25</v>
      </c>
      <c r="D98" s="73"/>
      <c r="E98" s="148">
        <v>2</v>
      </c>
      <c r="F98" s="149" t="s">
        <v>240</v>
      </c>
      <c r="G98" s="150">
        <v>216.67</v>
      </c>
      <c r="H98" s="132">
        <f t="shared" ref="H98" si="7">G98*15</f>
        <v>3250.0499999999997</v>
      </c>
      <c r="I98" s="150"/>
      <c r="J98" s="149">
        <v>0</v>
      </c>
      <c r="K98" s="149"/>
      <c r="L98" s="150"/>
      <c r="M98" s="150"/>
      <c r="N98" s="149"/>
      <c r="O98" s="150">
        <f t="shared" ref="O98" si="8">SUM(H98:N98)</f>
        <v>3250.0499999999997</v>
      </c>
      <c r="P98" s="149">
        <v>249.52</v>
      </c>
      <c r="Q98" s="149"/>
      <c r="R98" s="151"/>
      <c r="S98" s="151"/>
      <c r="T98" s="149"/>
      <c r="U98" s="149"/>
      <c r="V98" s="150">
        <f>SUM(P98:U98)</f>
        <v>249.52</v>
      </c>
      <c r="W98" s="135">
        <f>O98-V98</f>
        <v>3000.5299999999997</v>
      </c>
      <c r="X98" s="133">
        <v>100</v>
      </c>
      <c r="Y98" s="133"/>
    </row>
  </sheetData>
  <pageMargins left="0.59055118110236227" right="0" top="0" bottom="0" header="0" footer="0"/>
  <pageSetup paperSize="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AE38"/>
  <sheetViews>
    <sheetView topLeftCell="H10" workbookViewId="0">
      <selection activeCell="G6" sqref="G6"/>
    </sheetView>
  </sheetViews>
  <sheetFormatPr baseColWidth="10" defaultRowHeight="15" x14ac:dyDescent="0.25"/>
  <cols>
    <col min="1" max="1" width="12" style="106" hidden="1" customWidth="1"/>
    <col min="2" max="2" width="11" style="2" hidden="1" customWidth="1"/>
    <col min="3" max="3" width="28.42578125" style="2" hidden="1" customWidth="1"/>
    <col min="4" max="4" width="13" style="2" hidden="1" customWidth="1"/>
    <col min="5" max="5" width="4.85546875" style="46" bestFit="1" customWidth="1"/>
    <col min="6" max="6" width="22.42578125" style="46" bestFit="1" customWidth="1"/>
    <col min="7" max="7" width="9.28515625" style="46" bestFit="1" customWidth="1"/>
    <col min="8" max="9" width="8.28515625" style="46" bestFit="1" customWidth="1"/>
    <col min="10" max="10" width="14.7109375" style="46" customWidth="1"/>
    <col min="11" max="11" width="9.28515625" style="46" customWidth="1"/>
    <col min="12" max="12" width="9.7109375" style="46" bestFit="1" customWidth="1"/>
    <col min="13" max="16" width="8.7109375" style="46" bestFit="1" customWidth="1"/>
    <col min="17" max="17" width="7.28515625" style="46" bestFit="1" customWidth="1"/>
    <col min="18" max="19" width="9.28515625" style="46" bestFit="1" customWidth="1"/>
    <col min="20" max="20" width="10" style="46" bestFit="1" customWidth="1"/>
    <col min="21" max="21" width="9.42578125" style="46" bestFit="1" customWidth="1"/>
    <col min="22" max="22" width="8.42578125" style="46" bestFit="1" customWidth="1"/>
    <col min="23" max="23" width="7.42578125" style="46" bestFit="1" customWidth="1"/>
    <col min="24" max="24" width="8.140625" style="46" bestFit="1" customWidth="1"/>
    <col min="25" max="25" width="8.7109375" style="46" bestFit="1" customWidth="1"/>
    <col min="26" max="26" width="9.140625" style="46" bestFit="1" customWidth="1"/>
    <col min="27" max="27" width="9.28515625" style="46" bestFit="1" customWidth="1"/>
    <col min="28" max="28" width="10" style="46" bestFit="1" customWidth="1"/>
    <col min="29" max="29" width="8.7109375" style="106" hidden="1" customWidth="1"/>
    <col min="30" max="30" width="9" style="106" hidden="1" customWidth="1"/>
    <col min="31" max="32" width="9" customWidth="1"/>
  </cols>
  <sheetData>
    <row r="1" spans="1:31" ht="11.25" customHeight="1" x14ac:dyDescent="0.3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4"/>
      <c r="AD1" s="44"/>
    </row>
    <row r="2" spans="1:31" ht="11.25" customHeight="1" x14ac:dyDescent="0.3">
      <c r="A2" s="47"/>
      <c r="B2" s="1"/>
      <c r="C2" s="1"/>
      <c r="D2" s="1"/>
      <c r="E2" s="48"/>
      <c r="F2" s="48"/>
      <c r="G2" s="48"/>
      <c r="H2" s="48"/>
      <c r="I2" s="48"/>
      <c r="J2" s="49" t="s">
        <v>246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C2" s="47"/>
      <c r="AD2" s="47"/>
    </row>
    <row r="3" spans="1:31" ht="11.25" customHeight="1" x14ac:dyDescent="0.3">
      <c r="A3" s="50"/>
      <c r="B3" s="1"/>
      <c r="C3" s="1"/>
      <c r="D3" s="1"/>
      <c r="E3" s="51"/>
      <c r="F3" s="51"/>
      <c r="G3" s="51"/>
      <c r="H3" s="51"/>
      <c r="I3" s="51"/>
      <c r="J3" s="52" t="str">
        <f>[2]EVENTUAL!J2</f>
        <v>NOMINA DEL  16 AL 31 DE ENERO DEL 2017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C3" s="50"/>
      <c r="AD3" s="50"/>
    </row>
    <row r="4" spans="1:31" s="65" customFormat="1" thickBot="1" x14ac:dyDescent="0.35">
      <c r="A4" s="53"/>
      <c r="B4" s="54"/>
      <c r="C4" s="54"/>
      <c r="D4" s="54"/>
      <c r="E4" s="55"/>
      <c r="F4" s="56"/>
      <c r="G4" s="57">
        <v>11301</v>
      </c>
      <c r="H4" s="58">
        <v>13301</v>
      </c>
      <c r="I4" s="58">
        <v>13301</v>
      </c>
      <c r="J4" s="57">
        <v>11301</v>
      </c>
      <c r="K4" s="57">
        <v>15404</v>
      </c>
      <c r="L4" s="57">
        <v>15901</v>
      </c>
      <c r="M4" s="57">
        <v>17103</v>
      </c>
      <c r="N4" s="57">
        <v>17103</v>
      </c>
      <c r="O4" s="57">
        <v>15406</v>
      </c>
      <c r="P4" s="57">
        <v>15903</v>
      </c>
      <c r="Q4" s="59">
        <v>1197</v>
      </c>
      <c r="R4" s="57">
        <v>13204</v>
      </c>
      <c r="S4" s="57">
        <v>13204</v>
      </c>
      <c r="T4" s="57"/>
      <c r="U4" s="59">
        <v>2111.1</v>
      </c>
      <c r="V4" s="57">
        <v>52010102</v>
      </c>
      <c r="W4" s="57">
        <v>52010501</v>
      </c>
      <c r="X4" s="60">
        <v>52010304</v>
      </c>
      <c r="Y4" s="57">
        <v>52010104</v>
      </c>
      <c r="Z4" s="61">
        <v>52010305</v>
      </c>
      <c r="AA4" s="62"/>
      <c r="AB4" s="63"/>
      <c r="AC4" s="64" t="s">
        <v>247</v>
      </c>
      <c r="AD4" s="64" t="s">
        <v>247</v>
      </c>
    </row>
    <row r="5" spans="1:31" ht="37.9" customHeight="1" thickBot="1" x14ac:dyDescent="0.35">
      <c r="A5" s="66" t="s">
        <v>248</v>
      </c>
      <c r="B5" s="67" t="s">
        <v>249</v>
      </c>
      <c r="C5" s="67" t="s">
        <v>250</v>
      </c>
      <c r="D5" s="67" t="s">
        <v>251</v>
      </c>
      <c r="E5" s="68" t="s">
        <v>252</v>
      </c>
      <c r="F5" s="69" t="s">
        <v>253</v>
      </c>
      <c r="G5" s="69" t="s">
        <v>254</v>
      </c>
      <c r="H5" s="70" t="s">
        <v>255</v>
      </c>
      <c r="I5" s="70" t="s">
        <v>255</v>
      </c>
      <c r="J5" s="69" t="s">
        <v>256</v>
      </c>
      <c r="K5" s="70" t="s">
        <v>257</v>
      </c>
      <c r="L5" s="69" t="s">
        <v>258</v>
      </c>
      <c r="M5" s="69" t="s">
        <v>259</v>
      </c>
      <c r="N5" s="69" t="s">
        <v>260</v>
      </c>
      <c r="O5" s="69" t="s">
        <v>261</v>
      </c>
      <c r="P5" s="69" t="s">
        <v>262</v>
      </c>
      <c r="Q5" s="69" t="s">
        <v>263</v>
      </c>
      <c r="R5" s="69" t="s">
        <v>264</v>
      </c>
      <c r="S5" s="69" t="s">
        <v>265</v>
      </c>
      <c r="T5" s="69" t="s">
        <v>266</v>
      </c>
      <c r="U5" s="69" t="s">
        <v>1</v>
      </c>
      <c r="V5" s="69" t="s">
        <v>267</v>
      </c>
      <c r="W5" s="69" t="s">
        <v>268</v>
      </c>
      <c r="X5" s="69" t="s">
        <v>269</v>
      </c>
      <c r="Y5" s="69" t="s">
        <v>270</v>
      </c>
      <c r="Z5" s="69" t="s">
        <v>271</v>
      </c>
      <c r="AA5" s="69" t="s">
        <v>272</v>
      </c>
      <c r="AB5" s="71" t="s">
        <v>273</v>
      </c>
      <c r="AC5" s="66" t="s">
        <v>258</v>
      </c>
      <c r="AD5" s="66" t="s">
        <v>258</v>
      </c>
    </row>
    <row r="6" spans="1:31" ht="12.6" customHeight="1" x14ac:dyDescent="0.3">
      <c r="A6" s="72" t="s">
        <v>2</v>
      </c>
      <c r="B6" s="73" t="s">
        <v>3</v>
      </c>
      <c r="C6" s="73" t="s">
        <v>4</v>
      </c>
      <c r="D6" s="73"/>
      <c r="E6" s="74">
        <v>28</v>
      </c>
      <c r="F6" s="75" t="s">
        <v>5</v>
      </c>
      <c r="G6" s="76">
        <v>3575.07</v>
      </c>
      <c r="H6" s="76"/>
      <c r="I6" s="76"/>
      <c r="J6" s="76">
        <v>160.38</v>
      </c>
      <c r="K6" s="76">
        <f>G6/15</f>
        <v>238.33800000000002</v>
      </c>
      <c r="L6" s="76">
        <f>AC6+AD6</f>
        <v>326.42</v>
      </c>
      <c r="M6" s="76">
        <v>325.51</v>
      </c>
      <c r="N6" s="76">
        <v>310.01</v>
      </c>
      <c r="O6" s="76"/>
      <c r="P6" s="76">
        <v>194.4</v>
      </c>
      <c r="Q6" s="77"/>
      <c r="R6" s="77"/>
      <c r="S6" s="77"/>
      <c r="T6" s="78">
        <f t="shared" ref="T6:T15" si="0">SUM(G6:S6)</f>
        <v>5130.1280000000006</v>
      </c>
      <c r="U6" s="79">
        <v>548.61</v>
      </c>
      <c r="V6" s="78">
        <v>72.36</v>
      </c>
      <c r="W6" s="78">
        <v>18.55</v>
      </c>
      <c r="X6" s="78"/>
      <c r="Y6" s="78"/>
      <c r="Z6" s="78"/>
      <c r="AA6" s="78">
        <f t="shared" ref="AA6:AA15" si="1">SUM(U6:Z6)</f>
        <v>639.52</v>
      </c>
      <c r="AB6" s="78">
        <v>4490.6099999999997</v>
      </c>
      <c r="AC6" s="80">
        <v>326.42</v>
      </c>
      <c r="AD6" s="80"/>
    </row>
    <row r="7" spans="1:31" ht="12.6" customHeight="1" x14ac:dyDescent="0.3">
      <c r="A7" s="81" t="s">
        <v>6</v>
      </c>
      <c r="B7" s="73" t="s">
        <v>3</v>
      </c>
      <c r="C7" s="73" t="s">
        <v>7</v>
      </c>
      <c r="D7" s="73"/>
      <c r="E7" s="82">
        <v>31</v>
      </c>
      <c r="F7" s="83" t="s">
        <v>8</v>
      </c>
      <c r="G7" s="76">
        <v>4090.7400000000002</v>
      </c>
      <c r="H7" s="76"/>
      <c r="I7" s="76"/>
      <c r="J7" s="76" t="s">
        <v>274</v>
      </c>
      <c r="K7" s="76">
        <f t="shared" ref="K7:K28" si="2">G7/15</f>
        <v>272.71600000000001</v>
      </c>
      <c r="L7" s="76">
        <f>AC7+AD7</f>
        <v>2303.31</v>
      </c>
      <c r="M7" s="76" t="s">
        <v>274</v>
      </c>
      <c r="N7" s="76" t="s">
        <v>274</v>
      </c>
      <c r="O7" s="76"/>
      <c r="P7" s="76" t="s">
        <v>274</v>
      </c>
      <c r="Q7" s="84"/>
      <c r="R7" s="84"/>
      <c r="S7" s="84"/>
      <c r="T7" s="78">
        <f t="shared" si="0"/>
        <v>6666.7659999999996</v>
      </c>
      <c r="U7" s="85">
        <v>876.83</v>
      </c>
      <c r="V7" s="86">
        <v>111.49</v>
      </c>
      <c r="W7" s="86">
        <v>23.41</v>
      </c>
      <c r="X7" s="86"/>
      <c r="Y7" s="86"/>
      <c r="Z7" s="86"/>
      <c r="AA7" s="78">
        <f t="shared" si="1"/>
        <v>1011.73</v>
      </c>
      <c r="AB7" s="78">
        <v>5655.0360000000001</v>
      </c>
      <c r="AC7" s="80">
        <v>2303.31</v>
      </c>
      <c r="AD7" s="80"/>
    </row>
    <row r="8" spans="1:31" ht="12.6" customHeight="1" x14ac:dyDescent="0.25">
      <c r="A8" s="87" t="s">
        <v>6</v>
      </c>
      <c r="B8" s="73" t="s">
        <v>3</v>
      </c>
      <c r="C8" s="73" t="s">
        <v>9</v>
      </c>
      <c r="D8" s="73"/>
      <c r="E8" s="88">
        <v>82</v>
      </c>
      <c r="F8" s="89" t="s">
        <v>10</v>
      </c>
      <c r="G8" s="76">
        <v>2351.3200000000002</v>
      </c>
      <c r="H8" s="76"/>
      <c r="I8" s="76">
        <f>H8</f>
        <v>0</v>
      </c>
      <c r="J8" s="76">
        <v>125.97</v>
      </c>
      <c r="K8" s="76">
        <f t="shared" si="2"/>
        <v>156.75466666666668</v>
      </c>
      <c r="L8" s="76">
        <f>AC8+AD8</f>
        <v>567.79</v>
      </c>
      <c r="M8" s="76">
        <v>170.14</v>
      </c>
      <c r="N8" s="76">
        <v>170.14</v>
      </c>
      <c r="O8" s="76"/>
      <c r="P8" s="76">
        <v>108</v>
      </c>
      <c r="Q8" s="76"/>
      <c r="R8" s="76"/>
      <c r="S8" s="76"/>
      <c r="T8" s="78">
        <f t="shared" si="0"/>
        <v>3650.1146666666664</v>
      </c>
      <c r="U8" s="90">
        <v>293.05</v>
      </c>
      <c r="V8" s="91">
        <v>46.93</v>
      </c>
      <c r="W8" s="91">
        <v>18.899999999999999</v>
      </c>
      <c r="X8" s="91"/>
      <c r="Y8" s="91">
        <v>412.98</v>
      </c>
      <c r="Z8" s="91"/>
      <c r="AA8" s="78">
        <f t="shared" si="1"/>
        <v>771.86</v>
      </c>
      <c r="AB8" s="78">
        <v>2878.2546666666663</v>
      </c>
      <c r="AC8" s="80">
        <v>567.79</v>
      </c>
      <c r="AD8" s="80"/>
    </row>
    <row r="9" spans="1:31" ht="12.6" customHeight="1" x14ac:dyDescent="0.3">
      <c r="A9" s="87" t="s">
        <v>6</v>
      </c>
      <c r="B9" s="73" t="s">
        <v>3</v>
      </c>
      <c r="C9" s="73" t="s">
        <v>9</v>
      </c>
      <c r="D9" s="73"/>
      <c r="E9" s="88">
        <v>110</v>
      </c>
      <c r="F9" s="92" t="s">
        <v>275</v>
      </c>
      <c r="G9" s="76">
        <v>2313.23</v>
      </c>
      <c r="H9" s="76">
        <f>G9/15*2</f>
        <v>308.4306666666667</v>
      </c>
      <c r="I9" s="76">
        <f>H9</f>
        <v>308.4306666666667</v>
      </c>
      <c r="J9" s="76">
        <v>160.38</v>
      </c>
      <c r="K9" s="76">
        <f t="shared" si="2"/>
        <v>154.21533333333335</v>
      </c>
      <c r="L9" s="76">
        <f>AC9+AD9</f>
        <v>1008.89</v>
      </c>
      <c r="M9" s="76">
        <v>193.79</v>
      </c>
      <c r="N9" s="76">
        <v>193.79</v>
      </c>
      <c r="O9" s="76"/>
      <c r="P9" s="76">
        <v>194.4</v>
      </c>
      <c r="Q9" s="76"/>
      <c r="R9" s="76"/>
      <c r="S9" s="76"/>
      <c r="T9" s="78">
        <f t="shared" si="0"/>
        <v>4835.5566666666664</v>
      </c>
      <c r="U9" s="90">
        <v>494.04</v>
      </c>
      <c r="V9" s="91">
        <v>48.11</v>
      </c>
      <c r="W9" s="91">
        <v>19.38</v>
      </c>
      <c r="X9" s="91"/>
      <c r="Y9" s="91">
        <v>624.52</v>
      </c>
      <c r="Z9" s="91"/>
      <c r="AA9" s="78">
        <f t="shared" si="1"/>
        <v>1186.05</v>
      </c>
      <c r="AB9" s="78">
        <v>3649.5066666666662</v>
      </c>
      <c r="AC9" s="80">
        <v>608.89</v>
      </c>
      <c r="AD9" s="80">
        <v>400</v>
      </c>
    </row>
    <row r="10" spans="1:31" ht="12.6" customHeight="1" x14ac:dyDescent="0.3">
      <c r="A10" s="87" t="s">
        <v>11</v>
      </c>
      <c r="B10" s="73" t="s">
        <v>3</v>
      </c>
      <c r="C10" s="73" t="s">
        <v>12</v>
      </c>
      <c r="D10" s="73"/>
      <c r="E10" s="88">
        <v>121</v>
      </c>
      <c r="F10" s="92" t="s">
        <v>13</v>
      </c>
      <c r="G10" s="76">
        <v>2791.41</v>
      </c>
      <c r="H10" s="76"/>
      <c r="I10" s="76">
        <f t="shared" ref="I10" si="3">H10</f>
        <v>0</v>
      </c>
      <c r="J10" s="76">
        <v>188.44</v>
      </c>
      <c r="K10" s="76">
        <f t="shared" si="2"/>
        <v>186.09399999999999</v>
      </c>
      <c r="L10" s="76">
        <f>AC10+AD10</f>
        <v>300</v>
      </c>
      <c r="M10" s="76">
        <v>237.33</v>
      </c>
      <c r="N10" s="76">
        <v>237.33</v>
      </c>
      <c r="O10" s="76"/>
      <c r="P10" s="76">
        <v>97.2</v>
      </c>
      <c r="Q10" s="76"/>
      <c r="R10" s="76"/>
      <c r="S10" s="76">
        <f>R10*0.28</f>
        <v>0</v>
      </c>
      <c r="T10" s="78">
        <f t="shared" si="0"/>
        <v>4037.8039999999996</v>
      </c>
      <c r="U10" s="90">
        <v>355.14</v>
      </c>
      <c r="V10" s="91">
        <v>50.86</v>
      </c>
      <c r="W10" s="91">
        <v>17.350000000000001</v>
      </c>
      <c r="X10" s="91">
        <v>500</v>
      </c>
      <c r="Y10" s="91"/>
      <c r="Z10" s="91"/>
      <c r="AA10" s="78">
        <f t="shared" si="1"/>
        <v>923.35</v>
      </c>
      <c r="AB10" s="78">
        <v>3114.4539999999997</v>
      </c>
      <c r="AC10" s="80">
        <v>300</v>
      </c>
      <c r="AD10" s="80"/>
    </row>
    <row r="11" spans="1:31" ht="12.6" customHeight="1" x14ac:dyDescent="0.3">
      <c r="A11" s="87" t="s">
        <v>14</v>
      </c>
      <c r="B11" s="73" t="s">
        <v>3</v>
      </c>
      <c r="C11" s="73" t="s">
        <v>15</v>
      </c>
      <c r="D11" s="73"/>
      <c r="E11" s="88">
        <v>11</v>
      </c>
      <c r="F11" s="93" t="s">
        <v>16</v>
      </c>
      <c r="G11" s="76">
        <v>2156.5499999999997</v>
      </c>
      <c r="H11" s="76">
        <f>G11/15*2</f>
        <v>287.53999999999996</v>
      </c>
      <c r="I11" s="76">
        <f>H11</f>
        <v>287.53999999999996</v>
      </c>
      <c r="J11" s="76">
        <f>200</f>
        <v>200</v>
      </c>
      <c r="K11" s="76">
        <f t="shared" si="2"/>
        <v>143.76999999999998</v>
      </c>
      <c r="L11" s="76">
        <v>810.81</v>
      </c>
      <c r="M11" s="76">
        <v>190.88</v>
      </c>
      <c r="N11" s="76">
        <v>190.88</v>
      </c>
      <c r="O11" s="76"/>
      <c r="P11" s="76">
        <v>237.61</v>
      </c>
      <c r="Q11" s="76"/>
      <c r="R11" s="76"/>
      <c r="S11" s="76"/>
      <c r="T11" s="78">
        <f t="shared" si="0"/>
        <v>4505.579999999999</v>
      </c>
      <c r="U11" s="90">
        <v>434.91</v>
      </c>
      <c r="V11" s="91">
        <v>44.28</v>
      </c>
      <c r="W11" s="91">
        <v>19.088200000000001</v>
      </c>
      <c r="X11" s="91"/>
      <c r="Y11" s="91"/>
      <c r="Z11" s="91"/>
      <c r="AA11" s="78">
        <f t="shared" si="1"/>
        <v>498.27820000000008</v>
      </c>
      <c r="AB11" s="78">
        <v>4007.3017999999988</v>
      </c>
      <c r="AC11" s="80">
        <f>810.81</f>
        <v>810.81</v>
      </c>
      <c r="AD11" s="80"/>
    </row>
    <row r="12" spans="1:31" ht="12.6" customHeight="1" x14ac:dyDescent="0.3">
      <c r="A12" s="87" t="s">
        <v>14</v>
      </c>
      <c r="B12" s="73" t="s">
        <v>3</v>
      </c>
      <c r="C12" s="73" t="s">
        <v>17</v>
      </c>
      <c r="D12" s="73"/>
      <c r="E12" s="88">
        <v>21</v>
      </c>
      <c r="F12" s="93" t="s">
        <v>18</v>
      </c>
      <c r="G12" s="76">
        <v>2680.19</v>
      </c>
      <c r="H12" s="76"/>
      <c r="I12" s="76"/>
      <c r="J12" s="76">
        <v>90.53</v>
      </c>
      <c r="K12" s="76">
        <f t="shared" si="2"/>
        <v>178.67933333333335</v>
      </c>
      <c r="L12" s="76">
        <v>966</v>
      </c>
      <c r="M12" s="76">
        <v>133.56</v>
      </c>
      <c r="N12" s="76">
        <v>133.56</v>
      </c>
      <c r="O12" s="76"/>
      <c r="P12" s="76">
        <v>106.92</v>
      </c>
      <c r="Q12" s="76"/>
      <c r="R12" s="76"/>
      <c r="S12" s="76"/>
      <c r="T12" s="78">
        <f t="shared" si="0"/>
        <v>4289.4393333333337</v>
      </c>
      <c r="U12" s="90">
        <v>396.17</v>
      </c>
      <c r="V12" s="91">
        <v>60.17</v>
      </c>
      <c r="W12" s="91">
        <v>22.26</v>
      </c>
      <c r="X12" s="91"/>
      <c r="Y12" s="91">
        <v>664.51</v>
      </c>
      <c r="Z12" s="91"/>
      <c r="AA12" s="78">
        <f t="shared" si="1"/>
        <v>1143.1100000000001</v>
      </c>
      <c r="AB12" s="78">
        <v>3146.3293333333336</v>
      </c>
      <c r="AC12" s="80">
        <v>666</v>
      </c>
      <c r="AD12" s="80">
        <v>1050</v>
      </c>
    </row>
    <row r="13" spans="1:31" ht="12.6" customHeight="1" x14ac:dyDescent="0.3">
      <c r="A13" s="87" t="s">
        <v>14</v>
      </c>
      <c r="B13" s="73" t="s">
        <v>3</v>
      </c>
      <c r="C13" s="73" t="s">
        <v>15</v>
      </c>
      <c r="D13" s="73"/>
      <c r="E13" s="88">
        <v>51</v>
      </c>
      <c r="F13" s="94" t="s">
        <v>19</v>
      </c>
      <c r="G13" s="76">
        <f>1956.04</f>
        <v>1956.04</v>
      </c>
      <c r="H13" s="76"/>
      <c r="I13" s="76">
        <f>H13</f>
        <v>0</v>
      </c>
      <c r="J13" s="76">
        <v>191.29</v>
      </c>
      <c r="K13" s="76">
        <f t="shared" si="2"/>
        <v>130.40266666666668</v>
      </c>
      <c r="L13" s="76">
        <v>1980</v>
      </c>
      <c r="M13" s="76">
        <v>86.36</v>
      </c>
      <c r="N13" s="76">
        <v>86.36</v>
      </c>
      <c r="O13" s="76"/>
      <c r="P13" s="76">
        <v>106.92</v>
      </c>
      <c r="Q13" s="76"/>
      <c r="R13" s="76"/>
      <c r="S13" s="76"/>
      <c r="T13" s="78">
        <f t="shared" si="0"/>
        <v>4537.3726666666662</v>
      </c>
      <c r="U13" s="90">
        <v>440.6</v>
      </c>
      <c r="V13" s="91">
        <v>35.729999999999997</v>
      </c>
      <c r="W13" s="91">
        <v>10.06</v>
      </c>
      <c r="X13" s="91">
        <v>0</v>
      </c>
      <c r="Y13" s="91"/>
      <c r="Z13" s="91">
        <v>649.38</v>
      </c>
      <c r="AA13" s="78">
        <f t="shared" si="1"/>
        <v>1135.77</v>
      </c>
      <c r="AB13" s="78">
        <v>3401.6026666666662</v>
      </c>
      <c r="AC13" s="80">
        <v>1530</v>
      </c>
      <c r="AD13" s="80">
        <v>1200</v>
      </c>
    </row>
    <row r="14" spans="1:31" ht="12.6" customHeight="1" x14ac:dyDescent="0.3">
      <c r="A14" s="95" t="s">
        <v>14</v>
      </c>
      <c r="B14" s="73" t="s">
        <v>20</v>
      </c>
      <c r="C14" s="73" t="s">
        <v>17</v>
      </c>
      <c r="D14" s="73"/>
      <c r="E14" s="96">
        <v>112</v>
      </c>
      <c r="F14" s="93" t="s">
        <v>21</v>
      </c>
      <c r="G14" s="97">
        <v>1793.37</v>
      </c>
      <c r="H14" s="97">
        <f>G14/15*1.5</f>
        <v>179.33699999999999</v>
      </c>
      <c r="I14" s="76">
        <f t="shared" ref="I14" si="4">H14</f>
        <v>179.33699999999999</v>
      </c>
      <c r="J14" s="97" t="s">
        <v>276</v>
      </c>
      <c r="K14" s="76">
        <f t="shared" si="2"/>
        <v>119.55799999999999</v>
      </c>
      <c r="L14" s="76">
        <v>924</v>
      </c>
      <c r="M14" s="97">
        <v>172.44</v>
      </c>
      <c r="N14" s="97">
        <v>172.44</v>
      </c>
      <c r="O14" s="76"/>
      <c r="P14" s="97">
        <v>106.92</v>
      </c>
      <c r="Q14" s="97"/>
      <c r="R14" s="97"/>
      <c r="S14" s="97"/>
      <c r="T14" s="78">
        <f t="shared" si="0"/>
        <v>3647.402</v>
      </c>
      <c r="U14" s="98">
        <v>292.72000000000003</v>
      </c>
      <c r="V14" s="99">
        <v>42.82</v>
      </c>
      <c r="W14" s="99"/>
      <c r="X14" s="99"/>
      <c r="Y14" s="99"/>
      <c r="Z14" s="99">
        <v>759.4</v>
      </c>
      <c r="AA14" s="78">
        <f t="shared" si="1"/>
        <v>1094.94</v>
      </c>
      <c r="AB14" s="78">
        <v>2552.462</v>
      </c>
      <c r="AC14" s="100">
        <v>174</v>
      </c>
      <c r="AD14" s="80">
        <v>450</v>
      </c>
      <c r="AE14" s="101"/>
    </row>
    <row r="15" spans="1:31" ht="12.6" customHeight="1" x14ac:dyDescent="0.3">
      <c r="A15" s="95" t="s">
        <v>14</v>
      </c>
      <c r="B15" s="73" t="s">
        <v>3</v>
      </c>
      <c r="C15" s="73" t="s">
        <v>17</v>
      </c>
      <c r="D15" s="73"/>
      <c r="E15" s="96">
        <v>118</v>
      </c>
      <c r="F15" s="93" t="s">
        <v>22</v>
      </c>
      <c r="G15" s="97">
        <v>1468.53</v>
      </c>
      <c r="H15" s="97"/>
      <c r="I15" s="76"/>
      <c r="J15" s="97">
        <v>90.53</v>
      </c>
      <c r="K15" s="76">
        <f t="shared" si="2"/>
        <v>97.902000000000001</v>
      </c>
      <c r="L15" s="76">
        <v>1000</v>
      </c>
      <c r="M15" s="97">
        <v>121.34</v>
      </c>
      <c r="N15" s="97">
        <v>121.34</v>
      </c>
      <c r="O15" s="97"/>
      <c r="P15" s="97">
        <v>100.6</v>
      </c>
      <c r="Q15" s="97"/>
      <c r="R15" s="97"/>
      <c r="S15" s="97"/>
      <c r="T15" s="78">
        <f t="shared" si="0"/>
        <v>3000.2420000000002</v>
      </c>
      <c r="U15" s="98">
        <v>76.989999999999995</v>
      </c>
      <c r="V15" s="99">
        <v>30.13</v>
      </c>
      <c r="W15" s="99">
        <v>12.13</v>
      </c>
      <c r="X15" s="102"/>
      <c r="Y15" s="102"/>
      <c r="Z15" s="99"/>
      <c r="AA15" s="78">
        <f t="shared" si="1"/>
        <v>119.24999999999999</v>
      </c>
      <c r="AB15" s="78">
        <v>2880.98</v>
      </c>
      <c r="AC15" s="103">
        <v>700</v>
      </c>
      <c r="AD15" s="80">
        <v>900</v>
      </c>
    </row>
    <row r="16" spans="1:31" ht="12.6" customHeight="1" x14ac:dyDescent="0.3">
      <c r="A16" s="87" t="s">
        <v>24</v>
      </c>
      <c r="B16" s="73" t="s">
        <v>20</v>
      </c>
      <c r="C16" s="73" t="s">
        <v>25</v>
      </c>
      <c r="D16" s="73"/>
      <c r="E16" s="88">
        <v>5</v>
      </c>
      <c r="F16" s="92" t="s">
        <v>26</v>
      </c>
      <c r="G16" s="76">
        <v>957.21</v>
      </c>
      <c r="H16" s="76"/>
      <c r="I16" s="76"/>
      <c r="J16" s="76">
        <v>82.3</v>
      </c>
      <c r="K16" s="76">
        <f t="shared" si="2"/>
        <v>63.814</v>
      </c>
      <c r="L16" s="76">
        <f t="shared" ref="L16:L28" si="5">AC16+AD16</f>
        <v>224.36</v>
      </c>
      <c r="M16" s="76">
        <v>55.22</v>
      </c>
      <c r="N16" s="76">
        <v>55.22</v>
      </c>
      <c r="O16" s="76"/>
      <c r="P16" s="76">
        <v>97.2</v>
      </c>
      <c r="Q16" s="76">
        <v>106.32</v>
      </c>
      <c r="R16" s="76"/>
      <c r="S16" s="76"/>
      <c r="T16" s="78">
        <f t="shared" ref="T16:T28" si="6">SUM(G16:S16)</f>
        <v>1641.6440000000002</v>
      </c>
      <c r="U16" s="76"/>
      <c r="V16" s="91">
        <v>22.84</v>
      </c>
      <c r="W16" s="91"/>
      <c r="X16" s="91"/>
      <c r="Y16" s="91"/>
      <c r="Z16" s="91"/>
      <c r="AA16" s="78">
        <f t="shared" ref="AA16:AA28" si="7">SUM(U16:Z16)</f>
        <v>22.84</v>
      </c>
      <c r="AB16" s="78">
        <v>1618.8</v>
      </c>
      <c r="AC16" s="80">
        <v>224.36</v>
      </c>
      <c r="AD16" s="80"/>
    </row>
    <row r="17" spans="1:30" ht="12.6" customHeight="1" x14ac:dyDescent="0.3">
      <c r="A17" s="87" t="s">
        <v>24</v>
      </c>
      <c r="B17" s="73" t="s">
        <v>20</v>
      </c>
      <c r="C17" s="73" t="s">
        <v>25</v>
      </c>
      <c r="D17" s="73"/>
      <c r="E17" s="88">
        <v>6</v>
      </c>
      <c r="F17" s="92" t="s">
        <v>27</v>
      </c>
      <c r="G17" s="76">
        <v>2121.44</v>
      </c>
      <c r="H17" s="76">
        <f>G17/30</f>
        <v>70.714666666666673</v>
      </c>
      <c r="I17" s="76">
        <f t="shared" ref="I17:I28" si="8">H17</f>
        <v>70.714666666666673</v>
      </c>
      <c r="J17" s="76">
        <v>188.44</v>
      </c>
      <c r="K17" s="76">
        <f t="shared" si="2"/>
        <v>141.42933333333335</v>
      </c>
      <c r="L17" s="76">
        <f t="shared" si="5"/>
        <v>319.95</v>
      </c>
      <c r="M17" s="76">
        <v>122.39</v>
      </c>
      <c r="N17" s="76">
        <v>122.39</v>
      </c>
      <c r="O17" s="76"/>
      <c r="P17" s="76">
        <v>97.2</v>
      </c>
      <c r="Q17" s="76"/>
      <c r="R17" s="76"/>
      <c r="S17" s="76"/>
      <c r="T17" s="78">
        <f t="shared" si="6"/>
        <v>3254.6686666666665</v>
      </c>
      <c r="U17" s="90">
        <v>112.67</v>
      </c>
      <c r="V17" s="91">
        <v>51.68</v>
      </c>
      <c r="W17" s="91"/>
      <c r="X17" s="91"/>
      <c r="Y17" s="91"/>
      <c r="Z17" s="91">
        <v>586.33000000000004</v>
      </c>
      <c r="AA17" s="78">
        <f t="shared" si="7"/>
        <v>750.68000000000006</v>
      </c>
      <c r="AB17" s="78">
        <v>2503.98</v>
      </c>
      <c r="AC17" s="80">
        <v>207.28</v>
      </c>
      <c r="AD17" s="80">
        <v>112.67</v>
      </c>
    </row>
    <row r="18" spans="1:30" ht="12.6" customHeight="1" x14ac:dyDescent="0.25">
      <c r="A18" s="87" t="s">
        <v>24</v>
      </c>
      <c r="B18" s="73" t="s">
        <v>3</v>
      </c>
      <c r="C18" s="73" t="s">
        <v>28</v>
      </c>
      <c r="D18" s="73"/>
      <c r="E18" s="88">
        <v>24</v>
      </c>
      <c r="F18" s="93" t="s">
        <v>29</v>
      </c>
      <c r="G18" s="76">
        <v>4006.16</v>
      </c>
      <c r="H18" s="76">
        <f>G18/15</f>
        <v>267.07733333333334</v>
      </c>
      <c r="I18" s="76">
        <f t="shared" si="8"/>
        <v>267.07733333333334</v>
      </c>
      <c r="J18" s="76" t="s">
        <v>274</v>
      </c>
      <c r="K18" s="76">
        <f t="shared" si="2"/>
        <v>267.07733333333334</v>
      </c>
      <c r="L18" s="76">
        <f t="shared" si="5"/>
        <v>1095</v>
      </c>
      <c r="M18" s="76" t="s">
        <v>274</v>
      </c>
      <c r="N18" s="76" t="s">
        <v>274</v>
      </c>
      <c r="O18" s="76"/>
      <c r="P18" s="76" t="s">
        <v>274</v>
      </c>
      <c r="Q18" s="76"/>
      <c r="R18" s="104"/>
      <c r="S18" s="105"/>
      <c r="T18" s="78">
        <f t="shared" si="6"/>
        <v>5902.3920000000007</v>
      </c>
      <c r="U18" s="90">
        <v>713.56</v>
      </c>
      <c r="V18" s="91">
        <v>111.49</v>
      </c>
      <c r="W18" s="91">
        <v>40.369999999999997</v>
      </c>
      <c r="X18" s="91"/>
      <c r="Y18" s="91"/>
      <c r="Z18" s="91"/>
      <c r="AA18" s="78">
        <f t="shared" si="7"/>
        <v>865.42</v>
      </c>
      <c r="AB18" s="78">
        <v>5036.97</v>
      </c>
      <c r="AC18" s="80">
        <v>1095</v>
      </c>
      <c r="AD18" s="80"/>
    </row>
    <row r="19" spans="1:30" ht="12.6" customHeight="1" x14ac:dyDescent="0.3">
      <c r="A19" s="87" t="s">
        <v>24</v>
      </c>
      <c r="B19" s="73" t="s">
        <v>3</v>
      </c>
      <c r="C19" s="73" t="s">
        <v>30</v>
      </c>
      <c r="D19" s="73"/>
      <c r="E19" s="88">
        <v>25</v>
      </c>
      <c r="F19" s="93" t="s">
        <v>31</v>
      </c>
      <c r="G19" s="76">
        <v>2712.3399999999997</v>
      </c>
      <c r="H19" s="76">
        <f>G19/15</f>
        <v>180.82266666666663</v>
      </c>
      <c r="I19" s="76">
        <f t="shared" si="8"/>
        <v>180.82266666666663</v>
      </c>
      <c r="J19" s="76">
        <v>182.34</v>
      </c>
      <c r="K19" s="76">
        <f t="shared" si="2"/>
        <v>180.82266666666663</v>
      </c>
      <c r="L19" s="76">
        <f t="shared" si="5"/>
        <v>150</v>
      </c>
      <c r="M19" s="76">
        <v>139.51</v>
      </c>
      <c r="N19" s="76">
        <v>139.51</v>
      </c>
      <c r="O19" s="76"/>
      <c r="P19" s="76">
        <v>106.92</v>
      </c>
      <c r="Q19" s="76"/>
      <c r="R19" s="76"/>
      <c r="S19" s="76"/>
      <c r="T19" s="78">
        <f t="shared" si="6"/>
        <v>3973.0879999999997</v>
      </c>
      <c r="U19" s="90">
        <v>344.78</v>
      </c>
      <c r="V19" s="91">
        <v>64.709999999999994</v>
      </c>
      <c r="W19" s="91">
        <v>23.25</v>
      </c>
      <c r="X19" s="91"/>
      <c r="Y19" s="91"/>
      <c r="Z19" s="91"/>
      <c r="AA19" s="78">
        <f t="shared" si="7"/>
        <v>432.73999999999995</v>
      </c>
      <c r="AB19" s="78">
        <v>3540.35</v>
      </c>
      <c r="AC19" s="80">
        <f>150</f>
        <v>150</v>
      </c>
      <c r="AD19" s="80"/>
    </row>
    <row r="20" spans="1:30" ht="12.6" customHeight="1" x14ac:dyDescent="0.3">
      <c r="A20" s="87" t="s">
        <v>24</v>
      </c>
      <c r="B20" s="73" t="s">
        <v>3</v>
      </c>
      <c r="C20" s="73" t="s">
        <v>30</v>
      </c>
      <c r="D20" s="73"/>
      <c r="E20" s="88">
        <v>27</v>
      </c>
      <c r="F20" s="92" t="s">
        <v>32</v>
      </c>
      <c r="G20" s="76">
        <v>1734.79</v>
      </c>
      <c r="H20" s="76"/>
      <c r="I20" s="76">
        <f t="shared" si="8"/>
        <v>0</v>
      </c>
      <c r="J20" s="76">
        <v>99.51</v>
      </c>
      <c r="K20" s="76">
        <f t="shared" si="2"/>
        <v>115.65266666666666</v>
      </c>
      <c r="L20" s="76">
        <f t="shared" si="5"/>
        <v>930.61</v>
      </c>
      <c r="M20" s="76">
        <v>85.38</v>
      </c>
      <c r="N20" s="76">
        <v>85.38</v>
      </c>
      <c r="O20" s="76"/>
      <c r="P20" s="76">
        <v>106.92</v>
      </c>
      <c r="Q20" s="76"/>
      <c r="R20" s="76"/>
      <c r="S20" s="76">
        <f>Q20*0.28</f>
        <v>0</v>
      </c>
      <c r="T20" s="78">
        <f t="shared" si="6"/>
        <v>3158.242666666667</v>
      </c>
      <c r="U20" s="90">
        <v>114.43</v>
      </c>
      <c r="V20" s="91">
        <v>35.33</v>
      </c>
      <c r="W20" s="91">
        <v>14.23</v>
      </c>
      <c r="X20" s="91"/>
      <c r="Y20" s="91"/>
      <c r="Z20" s="91">
        <v>337.86</v>
      </c>
      <c r="AA20" s="78">
        <f t="shared" si="7"/>
        <v>501.85</v>
      </c>
      <c r="AB20" s="78">
        <v>2656.39</v>
      </c>
      <c r="AC20" s="80">
        <v>930.61</v>
      </c>
      <c r="AD20" s="80"/>
    </row>
    <row r="21" spans="1:30" ht="12.6" customHeight="1" x14ac:dyDescent="0.3">
      <c r="A21" s="87" t="s">
        <v>24</v>
      </c>
      <c r="B21" s="73" t="s">
        <v>20</v>
      </c>
      <c r="C21" s="73" t="s">
        <v>33</v>
      </c>
      <c r="D21" s="73"/>
      <c r="E21" s="88">
        <v>32</v>
      </c>
      <c r="F21" s="92" t="s">
        <v>34</v>
      </c>
      <c r="G21" s="76">
        <v>2990.83</v>
      </c>
      <c r="H21" s="76">
        <f>G21/15</f>
        <v>199.38866666666667</v>
      </c>
      <c r="I21" s="76">
        <f t="shared" si="8"/>
        <v>199.38866666666667</v>
      </c>
      <c r="J21" s="76">
        <v>261.72000000000003</v>
      </c>
      <c r="K21" s="76">
        <f t="shared" si="2"/>
        <v>199.38866666666667</v>
      </c>
      <c r="L21" s="76">
        <f t="shared" si="5"/>
        <v>1064.83</v>
      </c>
      <c r="M21" s="76">
        <v>299.08</v>
      </c>
      <c r="N21" s="76">
        <v>299.08</v>
      </c>
      <c r="O21" s="76"/>
      <c r="P21" s="76">
        <v>194.4</v>
      </c>
      <c r="Q21" s="76"/>
      <c r="R21" s="76"/>
      <c r="S21" s="76"/>
      <c r="T21" s="78">
        <f t="shared" si="6"/>
        <v>5708.1059999999998</v>
      </c>
      <c r="U21" s="90">
        <v>672.06</v>
      </c>
      <c r="V21" s="91">
        <v>89.89</v>
      </c>
      <c r="W21" s="91"/>
      <c r="X21" s="91"/>
      <c r="Y21" s="91"/>
      <c r="Z21" s="91"/>
      <c r="AA21" s="78">
        <f t="shared" si="7"/>
        <v>761.94999999999993</v>
      </c>
      <c r="AB21" s="78">
        <v>4946.16</v>
      </c>
      <c r="AC21" s="80">
        <v>864.83</v>
      </c>
      <c r="AD21" s="80">
        <v>200</v>
      </c>
    </row>
    <row r="22" spans="1:30" ht="12.6" customHeight="1" x14ac:dyDescent="0.3">
      <c r="A22" s="87" t="s">
        <v>24</v>
      </c>
      <c r="B22" s="73" t="s">
        <v>3</v>
      </c>
      <c r="C22" s="73" t="s">
        <v>30</v>
      </c>
      <c r="D22" s="73"/>
      <c r="E22" s="88">
        <v>57</v>
      </c>
      <c r="F22" s="92" t="s">
        <v>35</v>
      </c>
      <c r="G22" s="76">
        <v>1739.5</v>
      </c>
      <c r="H22" s="76">
        <f>G22/30</f>
        <v>57.983333333333334</v>
      </c>
      <c r="I22" s="76">
        <f t="shared" si="8"/>
        <v>57.983333333333334</v>
      </c>
      <c r="J22" s="76">
        <f>200</f>
        <v>200</v>
      </c>
      <c r="K22" s="76">
        <f t="shared" si="2"/>
        <v>115.96666666666667</v>
      </c>
      <c r="L22" s="76">
        <f t="shared" si="5"/>
        <v>0</v>
      </c>
      <c r="M22" s="76">
        <v>78.25</v>
      </c>
      <c r="N22" s="76">
        <v>78.25</v>
      </c>
      <c r="O22" s="76"/>
      <c r="P22" s="76">
        <v>106.92</v>
      </c>
      <c r="Q22" s="76">
        <v>4.6500000000000004</v>
      </c>
      <c r="R22" s="76"/>
      <c r="S22" s="76"/>
      <c r="T22" s="78">
        <f t="shared" si="6"/>
        <v>2439.5033333333336</v>
      </c>
      <c r="U22" s="90"/>
      <c r="V22" s="91">
        <v>32.369999999999997</v>
      </c>
      <c r="W22" s="91">
        <v>13.04</v>
      </c>
      <c r="X22" s="91"/>
      <c r="Y22" s="91"/>
      <c r="Z22" s="91">
        <v>402.61</v>
      </c>
      <c r="AA22" s="78">
        <f t="shared" si="7"/>
        <v>448.02</v>
      </c>
      <c r="AB22" s="78">
        <v>1991.48</v>
      </c>
      <c r="AC22" s="100"/>
      <c r="AD22" s="100"/>
    </row>
    <row r="23" spans="1:30" ht="12.6" customHeight="1" x14ac:dyDescent="0.3">
      <c r="A23" s="87" t="s">
        <v>24</v>
      </c>
      <c r="B23" s="73" t="s">
        <v>3</v>
      </c>
      <c r="C23" s="73" t="s">
        <v>30</v>
      </c>
      <c r="D23" s="73"/>
      <c r="E23" s="88">
        <v>64</v>
      </c>
      <c r="F23" s="92" t="s">
        <v>36</v>
      </c>
      <c r="G23" s="76">
        <f>3385.17</f>
        <v>3385.17</v>
      </c>
      <c r="H23" s="76">
        <f>G23/15</f>
        <v>225.678</v>
      </c>
      <c r="I23" s="76">
        <f t="shared" si="8"/>
        <v>225.678</v>
      </c>
      <c r="J23" s="76">
        <v>90.53</v>
      </c>
      <c r="K23" s="76">
        <f t="shared" si="2"/>
        <v>225.678</v>
      </c>
      <c r="L23" s="76">
        <f t="shared" si="5"/>
        <v>88.85</v>
      </c>
      <c r="M23" s="76">
        <v>175.86</v>
      </c>
      <c r="N23" s="76">
        <v>175.86</v>
      </c>
      <c r="O23" s="76"/>
      <c r="P23" s="76">
        <v>99</v>
      </c>
      <c r="Q23" s="76"/>
      <c r="R23" s="76"/>
      <c r="S23" s="76">
        <f>G23/15*10*0.28</f>
        <v>631.89840000000004</v>
      </c>
      <c r="T23" s="78">
        <f t="shared" si="6"/>
        <v>5324.2024000000001</v>
      </c>
      <c r="U23" s="90">
        <v>590.05999999999995</v>
      </c>
      <c r="V23" s="91">
        <v>92.41</v>
      </c>
      <c r="W23" s="91">
        <v>29.31</v>
      </c>
      <c r="X23" s="91"/>
      <c r="Y23" s="91"/>
      <c r="Z23" s="91">
        <v>649.38</v>
      </c>
      <c r="AA23" s="78">
        <f t="shared" si="7"/>
        <v>1361.1599999999999</v>
      </c>
      <c r="AB23" s="78">
        <v>3963.04</v>
      </c>
      <c r="AC23" s="80">
        <f>88.85</f>
        <v>88.85</v>
      </c>
      <c r="AD23" s="80"/>
    </row>
    <row r="24" spans="1:30" ht="12.6" customHeight="1" x14ac:dyDescent="0.3">
      <c r="A24" s="87" t="s">
        <v>24</v>
      </c>
      <c r="B24" s="73" t="s">
        <v>20</v>
      </c>
      <c r="C24" s="73" t="s">
        <v>25</v>
      </c>
      <c r="D24" s="73"/>
      <c r="E24" s="88">
        <v>69</v>
      </c>
      <c r="F24" s="92" t="s">
        <v>37</v>
      </c>
      <c r="G24" s="76">
        <v>2126.12</v>
      </c>
      <c r="H24" s="76"/>
      <c r="I24" s="76">
        <f t="shared" si="8"/>
        <v>0</v>
      </c>
      <c r="J24" s="76">
        <v>188.44</v>
      </c>
      <c r="K24" s="76">
        <f t="shared" si="2"/>
        <v>141.74133333333333</v>
      </c>
      <c r="L24" s="76">
        <f t="shared" si="5"/>
        <v>207.28</v>
      </c>
      <c r="M24" s="76">
        <v>122.66</v>
      </c>
      <c r="N24" s="76">
        <v>122.66</v>
      </c>
      <c r="O24" s="76"/>
      <c r="P24" s="76">
        <v>97.2</v>
      </c>
      <c r="Q24" s="76"/>
      <c r="R24" s="76"/>
      <c r="S24" s="76">
        <f>Q24*0.25</f>
        <v>0</v>
      </c>
      <c r="T24" s="78">
        <f t="shared" si="6"/>
        <v>3006.1013333333331</v>
      </c>
      <c r="U24" s="90">
        <v>77.63</v>
      </c>
      <c r="V24" s="91">
        <v>51.86</v>
      </c>
      <c r="W24" s="91"/>
      <c r="X24" s="91"/>
      <c r="Y24" s="91"/>
      <c r="Z24" s="91"/>
      <c r="AA24" s="78">
        <f t="shared" si="7"/>
        <v>129.49</v>
      </c>
      <c r="AB24" s="78">
        <v>2876.61</v>
      </c>
      <c r="AC24" s="100">
        <v>207.28</v>
      </c>
      <c r="AD24" s="100"/>
    </row>
    <row r="25" spans="1:30" ht="12.6" customHeight="1" x14ac:dyDescent="0.3">
      <c r="A25" s="87" t="s">
        <v>24</v>
      </c>
      <c r="B25" s="73" t="s">
        <v>3</v>
      </c>
      <c r="C25" s="73" t="s">
        <v>15</v>
      </c>
      <c r="D25" s="73"/>
      <c r="E25" s="88">
        <v>81</v>
      </c>
      <c r="F25" s="92" t="s">
        <v>38</v>
      </c>
      <c r="G25" s="76">
        <v>2549.1999999999998</v>
      </c>
      <c r="H25" s="76">
        <f>G25/15</f>
        <v>169.94666666666666</v>
      </c>
      <c r="I25" s="76">
        <f t="shared" si="8"/>
        <v>169.94666666666666</v>
      </c>
      <c r="J25" s="76">
        <v>166.21</v>
      </c>
      <c r="K25" s="76">
        <f t="shared" si="2"/>
        <v>169.94666666666666</v>
      </c>
      <c r="L25" s="76">
        <f t="shared" si="5"/>
        <v>222.31</v>
      </c>
      <c r="M25" s="76">
        <v>206.9</v>
      </c>
      <c r="N25" s="76">
        <v>206.9</v>
      </c>
      <c r="O25" s="76"/>
      <c r="P25" s="76">
        <v>194.4</v>
      </c>
      <c r="Q25" s="76"/>
      <c r="R25" s="76"/>
      <c r="S25" s="76"/>
      <c r="T25" s="78">
        <f t="shared" si="6"/>
        <v>4055.76</v>
      </c>
      <c r="U25" s="90">
        <v>358.01</v>
      </c>
      <c r="V25" s="91">
        <v>53</v>
      </c>
      <c r="W25" s="91">
        <v>20.69</v>
      </c>
      <c r="X25" s="91"/>
      <c r="Y25" s="91">
        <v>722.47</v>
      </c>
      <c r="Z25" s="91"/>
      <c r="AA25" s="78">
        <f t="shared" si="7"/>
        <v>1154.17</v>
      </c>
      <c r="AB25" s="78">
        <v>2901.59</v>
      </c>
      <c r="AC25" s="80">
        <f>222.31</f>
        <v>222.31</v>
      </c>
      <c r="AD25" s="80"/>
    </row>
    <row r="26" spans="1:30" ht="12.6" customHeight="1" x14ac:dyDescent="0.3">
      <c r="A26" s="87" t="s">
        <v>24</v>
      </c>
      <c r="B26" s="73" t="s">
        <v>20</v>
      </c>
      <c r="C26" s="73" t="s">
        <v>39</v>
      </c>
      <c r="D26" s="73"/>
      <c r="E26" s="88">
        <v>106</v>
      </c>
      <c r="F26" s="92" t="s">
        <v>40</v>
      </c>
      <c r="G26" s="76">
        <v>5719.9</v>
      </c>
      <c r="H26" s="76">
        <f>G26/15</f>
        <v>381.32666666666665</v>
      </c>
      <c r="I26" s="76">
        <f t="shared" si="8"/>
        <v>381.32666666666665</v>
      </c>
      <c r="J26" s="76" t="s">
        <v>274</v>
      </c>
      <c r="K26" s="76">
        <f t="shared" si="2"/>
        <v>381.32666666666665</v>
      </c>
      <c r="L26" s="76">
        <f t="shared" si="5"/>
        <v>4100</v>
      </c>
      <c r="M26" s="76" t="s">
        <v>274</v>
      </c>
      <c r="N26" s="76" t="s">
        <v>274</v>
      </c>
      <c r="O26" s="76"/>
      <c r="P26" s="76">
        <v>198.01</v>
      </c>
      <c r="Q26" s="76"/>
      <c r="R26" s="76">
        <f>G26/15*5</f>
        <v>1906.6333333333332</v>
      </c>
      <c r="S26" s="76">
        <f>R26*0.25</f>
        <v>476.6583333333333</v>
      </c>
      <c r="T26" s="78">
        <f t="shared" si="6"/>
        <v>13545.181666666667</v>
      </c>
      <c r="U26" s="90">
        <v>2417.14</v>
      </c>
      <c r="V26" s="91">
        <v>198.99</v>
      </c>
      <c r="W26" s="91"/>
      <c r="X26" s="91"/>
      <c r="Y26" s="91">
        <v>1240.3399999999999</v>
      </c>
      <c r="Z26" s="91"/>
      <c r="AA26" s="78">
        <f t="shared" si="7"/>
        <v>3856.4700000000003</v>
      </c>
      <c r="AB26" s="78">
        <v>9688.7099999999991</v>
      </c>
      <c r="AC26" s="80">
        <v>4100</v>
      </c>
      <c r="AD26" s="80"/>
    </row>
    <row r="27" spans="1:30" ht="12.6" customHeight="1" x14ac:dyDescent="0.3">
      <c r="A27" s="87" t="s">
        <v>24</v>
      </c>
      <c r="B27" s="73" t="s">
        <v>3</v>
      </c>
      <c r="C27" s="73" t="s">
        <v>30</v>
      </c>
      <c r="D27" s="73"/>
      <c r="E27" s="88">
        <v>108</v>
      </c>
      <c r="F27" s="92" t="s">
        <v>41</v>
      </c>
      <c r="G27" s="76">
        <v>1917.3400000000001</v>
      </c>
      <c r="H27" s="76">
        <f t="shared" ref="H27" si="9">G27/15</f>
        <v>127.82266666666668</v>
      </c>
      <c r="I27" s="76">
        <f t="shared" si="8"/>
        <v>127.82266666666668</v>
      </c>
      <c r="J27" s="76">
        <v>99.51</v>
      </c>
      <c r="K27" s="76">
        <f t="shared" si="2"/>
        <v>127.82266666666668</v>
      </c>
      <c r="L27" s="76">
        <f t="shared" si="5"/>
        <v>970</v>
      </c>
      <c r="M27" s="76">
        <v>158.34</v>
      </c>
      <c r="N27" s="76">
        <v>158.34</v>
      </c>
      <c r="O27" s="76"/>
      <c r="P27" s="76">
        <v>106.92</v>
      </c>
      <c r="Q27" s="76"/>
      <c r="R27" s="76"/>
      <c r="S27" s="76"/>
      <c r="T27" s="78">
        <f t="shared" si="6"/>
        <v>3793.9180000000006</v>
      </c>
      <c r="U27" s="90">
        <v>316.12</v>
      </c>
      <c r="V27" s="91">
        <v>39.31</v>
      </c>
      <c r="W27" s="91">
        <v>15.83</v>
      </c>
      <c r="X27" s="91"/>
      <c r="Y27" s="91"/>
      <c r="Z27" s="91"/>
      <c r="AA27" s="78">
        <f t="shared" si="7"/>
        <v>371.26</v>
      </c>
      <c r="AB27" s="78">
        <v>3422.66</v>
      </c>
      <c r="AC27" s="80">
        <v>970</v>
      </c>
      <c r="AD27" s="80"/>
    </row>
    <row r="28" spans="1:30" ht="12.6" customHeight="1" x14ac:dyDescent="0.3">
      <c r="A28" s="87" t="s">
        <v>24</v>
      </c>
      <c r="B28" s="73" t="s">
        <v>3</v>
      </c>
      <c r="C28" s="73" t="s">
        <v>42</v>
      </c>
      <c r="D28" s="73"/>
      <c r="E28" s="88">
        <v>129</v>
      </c>
      <c r="F28" s="92" t="s">
        <v>43</v>
      </c>
      <c r="G28" s="76">
        <v>5885.07</v>
      </c>
      <c r="H28" s="76">
        <f>G28/15</f>
        <v>392.33799999999997</v>
      </c>
      <c r="I28" s="76">
        <f t="shared" si="8"/>
        <v>392.33799999999997</v>
      </c>
      <c r="J28" s="76">
        <v>0</v>
      </c>
      <c r="K28" s="76">
        <f t="shared" si="2"/>
        <v>392.33799999999997</v>
      </c>
      <c r="L28" s="76">
        <f t="shared" si="5"/>
        <v>500</v>
      </c>
      <c r="M28" s="76">
        <v>399.39</v>
      </c>
      <c r="N28" s="76">
        <v>399.39</v>
      </c>
      <c r="O28" s="76"/>
      <c r="P28" s="76">
        <v>100</v>
      </c>
      <c r="Q28" s="76"/>
      <c r="R28" s="76"/>
      <c r="S28" s="76"/>
      <c r="T28" s="78">
        <f t="shared" si="6"/>
        <v>8460.8639999999996</v>
      </c>
      <c r="U28" s="90">
        <v>1260.05</v>
      </c>
      <c r="V28" s="91">
        <v>141.01</v>
      </c>
      <c r="W28" s="91">
        <v>40</v>
      </c>
      <c r="X28" s="91"/>
      <c r="Y28" s="91"/>
      <c r="Z28" s="91"/>
      <c r="AA28" s="78">
        <f t="shared" si="7"/>
        <v>1441.06</v>
      </c>
      <c r="AB28" s="78">
        <v>7019.8</v>
      </c>
      <c r="AC28" s="80">
        <v>500</v>
      </c>
      <c r="AD28" s="80"/>
    </row>
    <row r="29" spans="1:30" ht="10.5" customHeight="1" x14ac:dyDescent="0.3">
      <c r="A29" s="95" t="s">
        <v>44</v>
      </c>
      <c r="B29" s="73" t="s">
        <v>3</v>
      </c>
      <c r="C29" s="73" t="s">
        <v>45</v>
      </c>
      <c r="D29" s="73"/>
      <c r="E29" s="88">
        <v>42</v>
      </c>
      <c r="F29" s="93" t="s">
        <v>46</v>
      </c>
      <c r="G29" s="97">
        <v>1444.32</v>
      </c>
      <c r="H29" s="76"/>
      <c r="I29" s="76"/>
      <c r="J29" s="76">
        <v>82.3</v>
      </c>
      <c r="K29" s="76">
        <f>G29/15</f>
        <v>96.287999999999997</v>
      </c>
      <c r="L29" s="76">
        <v>541.12</v>
      </c>
      <c r="M29" s="76">
        <v>72.52</v>
      </c>
      <c r="N29" s="76">
        <v>72.52</v>
      </c>
      <c r="O29" s="107"/>
      <c r="P29" s="76">
        <v>106.92</v>
      </c>
      <c r="Q29" s="76">
        <v>26.29</v>
      </c>
      <c r="R29" s="91"/>
      <c r="S29" s="91"/>
      <c r="T29" s="78">
        <f t="shared" ref="T29:T35" si="10">SUM(G29:S29)</f>
        <v>2442.2779999999998</v>
      </c>
      <c r="U29" s="91"/>
      <c r="V29" s="91">
        <v>30.01</v>
      </c>
      <c r="W29" s="86">
        <v>12.08</v>
      </c>
      <c r="X29" s="91"/>
      <c r="Y29" s="91">
        <v>315.89999999999998</v>
      </c>
      <c r="Z29" s="78">
        <v>586.33000000000004</v>
      </c>
      <c r="AA29" s="78">
        <f>SUM(U29:Z29)</f>
        <v>944.32</v>
      </c>
      <c r="AB29" s="78">
        <f>T29-AA29</f>
        <v>1497.9579999999996</v>
      </c>
      <c r="AC29" s="80">
        <v>541.12</v>
      </c>
      <c r="AD29" s="80"/>
    </row>
    <row r="30" spans="1:30" ht="10.5" customHeight="1" x14ac:dyDescent="0.3">
      <c r="A30" s="95" t="s">
        <v>44</v>
      </c>
      <c r="B30" s="73" t="s">
        <v>3</v>
      </c>
      <c r="C30" s="73" t="s">
        <v>25</v>
      </c>
      <c r="D30" s="73"/>
      <c r="E30" s="88">
        <v>54</v>
      </c>
      <c r="F30" s="93" t="s">
        <v>47</v>
      </c>
      <c r="G30" s="97">
        <v>1453.03</v>
      </c>
      <c r="H30" s="76"/>
      <c r="I30" s="76"/>
      <c r="J30" s="76">
        <v>90.53</v>
      </c>
      <c r="K30" s="76">
        <f t="shared" ref="K30:K35" si="11">G30/15</f>
        <v>96.86866666666667</v>
      </c>
      <c r="L30" s="76">
        <v>216</v>
      </c>
      <c r="M30" s="76">
        <v>74.09</v>
      </c>
      <c r="N30" s="76">
        <v>74.09</v>
      </c>
      <c r="O30" s="108">
        <v>193.73733333333334</v>
      </c>
      <c r="P30" s="76">
        <v>106.92</v>
      </c>
      <c r="Q30" s="76">
        <v>35.119999999999997</v>
      </c>
      <c r="R30" s="91"/>
      <c r="S30" s="91"/>
      <c r="T30" s="78">
        <f t="shared" si="10"/>
        <v>2340.386</v>
      </c>
      <c r="U30" s="91"/>
      <c r="V30" s="91">
        <v>30.66</v>
      </c>
      <c r="W30" s="91">
        <v>12.35</v>
      </c>
      <c r="X30" s="91"/>
      <c r="Y30" s="91"/>
      <c r="Z30" s="78"/>
      <c r="AA30" s="78">
        <f t="shared" ref="AA30:AA35" si="12">SUM(U30:Z30)</f>
        <v>43.01</v>
      </c>
      <c r="AB30" s="78">
        <f t="shared" ref="AB30:AB35" si="13">T30-AA30</f>
        <v>2297.3759999999997</v>
      </c>
      <c r="AC30" s="80">
        <v>216</v>
      </c>
      <c r="AD30" s="80"/>
    </row>
    <row r="31" spans="1:30" ht="10.5" customHeight="1" x14ac:dyDescent="0.3">
      <c r="A31" s="95" t="s">
        <v>44</v>
      </c>
      <c r="B31" s="73" t="s">
        <v>3</v>
      </c>
      <c r="C31" s="73" t="s">
        <v>30</v>
      </c>
      <c r="D31" s="73"/>
      <c r="E31" s="88">
        <v>59</v>
      </c>
      <c r="F31" s="93" t="s">
        <v>48</v>
      </c>
      <c r="G31" s="97">
        <v>1531.02</v>
      </c>
      <c r="H31" s="76"/>
      <c r="I31" s="76"/>
      <c r="J31" s="76">
        <v>105.16</v>
      </c>
      <c r="K31" s="76">
        <f t="shared" si="11"/>
        <v>102.068</v>
      </c>
      <c r="L31" s="76">
        <v>87.29</v>
      </c>
      <c r="M31" s="76">
        <v>78.56</v>
      </c>
      <c r="N31" s="76">
        <v>78.56</v>
      </c>
      <c r="O31" s="107"/>
      <c r="P31" s="76">
        <v>106.92</v>
      </c>
      <c r="Q31" s="76">
        <v>68.73</v>
      </c>
      <c r="R31" s="91"/>
      <c r="S31" s="91"/>
      <c r="T31" s="78">
        <f t="shared" si="10"/>
        <v>2158.308</v>
      </c>
      <c r="U31" s="91"/>
      <c r="V31" s="91">
        <v>32.5</v>
      </c>
      <c r="W31" s="109">
        <v>13.09</v>
      </c>
      <c r="X31" s="91"/>
      <c r="Y31" s="91"/>
      <c r="Z31" s="78">
        <v>242.48</v>
      </c>
      <c r="AA31" s="78">
        <f t="shared" si="12"/>
        <v>288.07</v>
      </c>
      <c r="AB31" s="78">
        <f t="shared" si="13"/>
        <v>1870.2380000000001</v>
      </c>
      <c r="AC31" s="80">
        <v>87.29</v>
      </c>
      <c r="AD31" s="80"/>
    </row>
    <row r="32" spans="1:30" ht="10.5" customHeight="1" x14ac:dyDescent="0.3">
      <c r="A32" s="110" t="s">
        <v>44</v>
      </c>
      <c r="B32" s="73" t="s">
        <v>20</v>
      </c>
      <c r="C32" s="73" t="s">
        <v>30</v>
      </c>
      <c r="D32" s="73"/>
      <c r="E32" s="111">
        <v>61</v>
      </c>
      <c r="F32" s="112" t="s">
        <v>49</v>
      </c>
      <c r="G32" s="113">
        <v>992.21</v>
      </c>
      <c r="H32" s="108"/>
      <c r="I32" s="108"/>
      <c r="J32" s="108">
        <v>82.3</v>
      </c>
      <c r="K32" s="76">
        <f t="shared" si="11"/>
        <v>66.147333333333336</v>
      </c>
      <c r="L32" s="76">
        <v>259.3</v>
      </c>
      <c r="M32" s="108">
        <v>55.64</v>
      </c>
      <c r="N32" s="108">
        <v>55.64</v>
      </c>
      <c r="O32" s="107"/>
      <c r="P32" s="108">
        <v>97.2</v>
      </c>
      <c r="Q32" s="108">
        <v>106.35</v>
      </c>
      <c r="R32" s="90"/>
      <c r="S32" s="90"/>
      <c r="T32" s="78">
        <f t="shared" si="10"/>
        <v>1714.7873333333334</v>
      </c>
      <c r="U32" s="90"/>
      <c r="V32" s="90">
        <v>23.01</v>
      </c>
      <c r="W32" s="109"/>
      <c r="X32" s="90"/>
      <c r="Y32" s="90"/>
      <c r="Z32" s="78"/>
      <c r="AA32" s="78">
        <f t="shared" si="12"/>
        <v>23.01</v>
      </c>
      <c r="AB32" s="78">
        <f t="shared" si="13"/>
        <v>1691.7773333333334</v>
      </c>
      <c r="AC32" s="114">
        <v>259.3</v>
      </c>
      <c r="AD32" s="114"/>
    </row>
    <row r="33" spans="1:30" ht="10.5" customHeight="1" x14ac:dyDescent="0.3">
      <c r="A33" s="95" t="s">
        <v>44</v>
      </c>
      <c r="B33" s="73" t="s">
        <v>3</v>
      </c>
      <c r="C33" s="73" t="s">
        <v>50</v>
      </c>
      <c r="D33" s="73"/>
      <c r="E33" s="88">
        <v>124</v>
      </c>
      <c r="F33" s="93" t="s">
        <v>51</v>
      </c>
      <c r="G33" s="97">
        <v>2801.83</v>
      </c>
      <c r="H33" s="76"/>
      <c r="I33" s="76"/>
      <c r="J33" s="76">
        <v>124</v>
      </c>
      <c r="K33" s="76">
        <f t="shared" si="11"/>
        <v>186.78866666666667</v>
      </c>
      <c r="L33" s="76">
        <v>305</v>
      </c>
      <c r="M33" s="76">
        <v>239.18</v>
      </c>
      <c r="N33" s="76">
        <v>239.18</v>
      </c>
      <c r="O33" s="108">
        <v>373.57733333333334</v>
      </c>
      <c r="P33" s="76"/>
      <c r="Q33" s="76"/>
      <c r="R33" s="91"/>
      <c r="S33" s="91"/>
      <c r="T33" s="78">
        <f t="shared" si="10"/>
        <v>4269.5559999999996</v>
      </c>
      <c r="U33" s="91">
        <v>362.33</v>
      </c>
      <c r="V33" s="91">
        <v>67.739999999999995</v>
      </c>
      <c r="W33" s="109">
        <v>40</v>
      </c>
      <c r="X33" s="91"/>
      <c r="Y33" s="91"/>
      <c r="Z33" s="78">
        <v>674.38</v>
      </c>
      <c r="AA33" s="78">
        <f t="shared" si="12"/>
        <v>1144.45</v>
      </c>
      <c r="AB33" s="78">
        <f t="shared" si="13"/>
        <v>3125.1059999999998</v>
      </c>
      <c r="AC33" s="80">
        <v>305</v>
      </c>
      <c r="AD33" s="80"/>
    </row>
    <row r="34" spans="1:30" ht="10.5" customHeight="1" x14ac:dyDescent="0.3">
      <c r="A34" s="95" t="s">
        <v>44</v>
      </c>
      <c r="B34" s="73" t="s">
        <v>20</v>
      </c>
      <c r="C34" s="73" t="s">
        <v>52</v>
      </c>
      <c r="D34" s="73"/>
      <c r="E34" s="88">
        <v>126</v>
      </c>
      <c r="F34" s="93" t="s">
        <v>53</v>
      </c>
      <c r="G34" s="97">
        <v>2887.42</v>
      </c>
      <c r="H34" s="76"/>
      <c r="I34" s="76"/>
      <c r="J34" s="76">
        <v>124</v>
      </c>
      <c r="K34" s="76">
        <f t="shared" si="11"/>
        <v>192.49466666666666</v>
      </c>
      <c r="L34" s="76">
        <v>305</v>
      </c>
      <c r="M34" s="76">
        <v>239.18</v>
      </c>
      <c r="N34" s="76">
        <v>239.18</v>
      </c>
      <c r="O34" s="108">
        <v>384.98933333333332</v>
      </c>
      <c r="P34" s="76"/>
      <c r="Q34" s="76"/>
      <c r="R34" s="91"/>
      <c r="S34" s="91"/>
      <c r="T34" s="78">
        <f t="shared" si="10"/>
        <v>4372.2639999999992</v>
      </c>
      <c r="U34" s="91">
        <v>377.85</v>
      </c>
      <c r="V34" s="91">
        <v>67.739999999999995</v>
      </c>
      <c r="W34" s="109"/>
      <c r="X34" s="91"/>
      <c r="Y34" s="91"/>
      <c r="Z34" s="78"/>
      <c r="AA34" s="78">
        <f t="shared" si="12"/>
        <v>445.59000000000003</v>
      </c>
      <c r="AB34" s="78">
        <f t="shared" si="13"/>
        <v>3926.6739999999991</v>
      </c>
      <c r="AC34" s="80">
        <v>305</v>
      </c>
      <c r="AD34" s="80"/>
    </row>
    <row r="35" spans="1:30" ht="10.5" customHeight="1" x14ac:dyDescent="0.3">
      <c r="A35" s="95" t="s">
        <v>44</v>
      </c>
      <c r="B35" s="73" t="s">
        <v>20</v>
      </c>
      <c r="C35" s="73" t="s">
        <v>52</v>
      </c>
      <c r="D35" s="73"/>
      <c r="E35" s="111">
        <v>116</v>
      </c>
      <c r="F35" s="115" t="s">
        <v>54</v>
      </c>
      <c r="G35" s="108">
        <v>2218.63</v>
      </c>
      <c r="H35" s="108"/>
      <c r="I35" s="108">
        <v>0</v>
      </c>
      <c r="J35" s="108"/>
      <c r="K35" s="76">
        <f t="shared" si="11"/>
        <v>147.90866666666668</v>
      </c>
      <c r="L35" s="76">
        <v>305</v>
      </c>
      <c r="M35" s="108">
        <v>213.33</v>
      </c>
      <c r="N35" s="108">
        <v>213.33</v>
      </c>
      <c r="O35" s="108">
        <v>295.81733333333335</v>
      </c>
      <c r="P35" s="108">
        <v>97.21</v>
      </c>
      <c r="Q35" s="108"/>
      <c r="R35" s="90"/>
      <c r="S35" s="90"/>
      <c r="T35" s="78">
        <f t="shared" si="10"/>
        <v>3491.2260000000001</v>
      </c>
      <c r="U35" s="90">
        <v>134.57</v>
      </c>
      <c r="V35" s="90">
        <v>55.93</v>
      </c>
      <c r="W35" s="109"/>
      <c r="X35" s="90">
        <v>500</v>
      </c>
      <c r="Y35" s="90"/>
      <c r="Z35" s="78">
        <v>597.29999999999995</v>
      </c>
      <c r="AA35" s="78">
        <f t="shared" si="12"/>
        <v>1287.8</v>
      </c>
      <c r="AB35" s="78">
        <f t="shared" si="13"/>
        <v>2203.4260000000004</v>
      </c>
      <c r="AC35" s="80">
        <v>305</v>
      </c>
      <c r="AD35" s="80"/>
    </row>
    <row r="38" spans="1:30" ht="14.45" x14ac:dyDescent="0.3">
      <c r="B38" s="106"/>
      <c r="C38" s="106"/>
      <c r="D38" s="106"/>
    </row>
  </sheetData>
  <pageMargins left="0.62992125984251968" right="3.937007874015748E-2" top="0.74803149606299213" bottom="0.74803149606299213" header="0.31496062992125984" footer="0.31496062992125984"/>
  <pageSetup paperSize="5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98"/>
  <sheetViews>
    <sheetView topLeftCell="E46" zoomScaleNormal="100" workbookViewId="0">
      <selection activeCell="H75" sqref="H75"/>
    </sheetView>
  </sheetViews>
  <sheetFormatPr baseColWidth="10" defaultRowHeight="15" x14ac:dyDescent="0.25"/>
  <cols>
    <col min="1" max="1" width="12.42578125" style="2" hidden="1" customWidth="1"/>
    <col min="2" max="2" width="10.85546875" style="2" hidden="1" customWidth="1"/>
    <col min="3" max="3" width="30.42578125" style="2" hidden="1" customWidth="1"/>
    <col min="4" max="4" width="13" style="2" hidden="1" customWidth="1"/>
    <col min="5" max="5" width="4.140625" style="2" bestFit="1" customWidth="1"/>
    <col min="6" max="6" width="30.140625" style="2" customWidth="1"/>
    <col min="7" max="7" width="6.28515625" style="43" customWidth="1"/>
    <col min="8" max="8" width="7.7109375" style="43" bestFit="1" customWidth="1"/>
    <col min="9" max="9" width="7.5703125" style="43" customWidth="1"/>
    <col min="10" max="10" width="7.28515625" style="43" customWidth="1"/>
    <col min="11" max="11" width="6.28515625" style="43" bestFit="1" customWidth="1"/>
    <col min="12" max="12" width="8.140625" style="43" customWidth="1"/>
    <col min="13" max="13" width="8.7109375" style="43" bestFit="1" customWidth="1"/>
    <col min="14" max="14" width="9.7109375" style="43" customWidth="1"/>
    <col min="15" max="15" width="9.85546875" style="43" customWidth="1"/>
    <col min="16" max="16" width="7" style="43" bestFit="1" customWidth="1"/>
    <col min="17" max="17" width="7.7109375" style="43" bestFit="1" customWidth="1"/>
    <col min="18" max="18" width="7" style="186" customWidth="1"/>
    <col min="19" max="19" width="7.5703125" style="186" bestFit="1" customWidth="1"/>
    <col min="20" max="21" width="7" style="43" bestFit="1" customWidth="1"/>
    <col min="22" max="22" width="9.7109375" style="43" customWidth="1"/>
    <col min="23" max="23" width="7.7109375" style="43" bestFit="1" customWidth="1"/>
    <col min="24" max="24" width="13.140625" style="2" hidden="1" customWidth="1"/>
    <col min="25" max="25" width="18.7109375" style="2" hidden="1" customWidth="1"/>
    <col min="26" max="26" width="11.5703125" style="118"/>
  </cols>
  <sheetData>
    <row r="1" spans="1:26" ht="8.25" customHeight="1" x14ac:dyDescent="0.3">
      <c r="A1" s="1"/>
      <c r="B1" s="1"/>
      <c r="C1" s="1"/>
      <c r="D1" s="1"/>
      <c r="F1" s="116"/>
      <c r="G1" s="116"/>
      <c r="H1" s="116"/>
      <c r="I1" s="117"/>
      <c r="J1" s="116" t="s">
        <v>277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6" ht="8.25" customHeight="1" x14ac:dyDescent="0.3">
      <c r="A2" s="1"/>
      <c r="B2" s="1"/>
      <c r="C2" s="1"/>
      <c r="D2" s="1"/>
      <c r="F2" s="116"/>
      <c r="G2" s="116"/>
      <c r="H2" s="116"/>
      <c r="I2" s="117"/>
      <c r="J2" s="116" t="s">
        <v>290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6" s="65" customFormat="1" ht="8.25" customHeight="1" thickBot="1" x14ac:dyDescent="0.35">
      <c r="A3" s="54"/>
      <c r="B3" s="54"/>
      <c r="C3" s="54"/>
      <c r="D3" s="54"/>
      <c r="E3" s="119"/>
      <c r="F3" s="119"/>
      <c r="G3" s="119"/>
      <c r="H3" s="119">
        <v>12201</v>
      </c>
      <c r="I3" s="119">
        <v>15404</v>
      </c>
      <c r="J3" s="119">
        <v>15406</v>
      </c>
      <c r="K3" s="119">
        <v>13301</v>
      </c>
      <c r="L3" s="119">
        <v>15901</v>
      </c>
      <c r="M3" s="119">
        <v>13204</v>
      </c>
      <c r="N3" s="119">
        <v>13204</v>
      </c>
      <c r="O3" s="119"/>
      <c r="P3" s="120">
        <v>2111.1</v>
      </c>
      <c r="Q3" s="121">
        <v>52010304</v>
      </c>
      <c r="R3" s="119">
        <v>52010102</v>
      </c>
      <c r="S3" s="119"/>
      <c r="T3" s="119">
        <v>52010305</v>
      </c>
      <c r="U3" s="122">
        <v>52010501</v>
      </c>
      <c r="V3" s="119"/>
      <c r="W3" s="119"/>
      <c r="X3" s="119"/>
      <c r="Y3" s="119"/>
    </row>
    <row r="4" spans="1:26" ht="20.25" customHeight="1" thickBot="1" x14ac:dyDescent="0.35">
      <c r="A4" s="123" t="s">
        <v>279</v>
      </c>
      <c r="B4" s="67" t="s">
        <v>249</v>
      </c>
      <c r="C4" s="67" t="s">
        <v>250</v>
      </c>
      <c r="D4" s="67" t="s">
        <v>251</v>
      </c>
      <c r="E4" s="124" t="s">
        <v>0</v>
      </c>
      <c r="F4" s="125" t="s">
        <v>280</v>
      </c>
      <c r="G4" s="126" t="s">
        <v>281</v>
      </c>
      <c r="H4" s="126" t="s">
        <v>254</v>
      </c>
      <c r="I4" s="126" t="s">
        <v>257</v>
      </c>
      <c r="J4" s="126" t="s">
        <v>261</v>
      </c>
      <c r="K4" s="126" t="s">
        <v>282</v>
      </c>
      <c r="L4" s="126" t="s">
        <v>283</v>
      </c>
      <c r="M4" s="127" t="s">
        <v>264</v>
      </c>
      <c r="N4" s="126" t="s">
        <v>265</v>
      </c>
      <c r="O4" s="126" t="s">
        <v>55</v>
      </c>
      <c r="P4" s="126" t="s">
        <v>1</v>
      </c>
      <c r="Q4" s="126" t="s">
        <v>284</v>
      </c>
      <c r="R4" s="128" t="s">
        <v>56</v>
      </c>
      <c r="S4" s="129" t="s">
        <v>270</v>
      </c>
      <c r="T4" s="126" t="s">
        <v>285</v>
      </c>
      <c r="U4" s="126" t="s">
        <v>286</v>
      </c>
      <c r="V4" s="126" t="s">
        <v>272</v>
      </c>
      <c r="W4" s="126" t="s">
        <v>273</v>
      </c>
      <c r="X4" s="126" t="s">
        <v>287</v>
      </c>
      <c r="Y4" s="126" t="s">
        <v>288</v>
      </c>
    </row>
    <row r="5" spans="1:26" s="137" customFormat="1" ht="9" customHeight="1" x14ac:dyDescent="0.3">
      <c r="A5" s="3" t="s">
        <v>57</v>
      </c>
      <c r="B5" s="73" t="s">
        <v>58</v>
      </c>
      <c r="C5" s="73" t="s">
        <v>52</v>
      </c>
      <c r="D5" s="73"/>
      <c r="E5" s="130">
        <v>1</v>
      </c>
      <c r="F5" s="131" t="s">
        <v>59</v>
      </c>
      <c r="G5" s="131">
        <v>204.29</v>
      </c>
      <c r="H5" s="132">
        <f>G5*15</f>
        <v>3064.35</v>
      </c>
      <c r="I5" s="131">
        <f>G5</f>
        <v>204.29</v>
      </c>
      <c r="J5" s="131"/>
      <c r="K5" s="131"/>
      <c r="L5" s="131">
        <v>570</v>
      </c>
      <c r="M5" s="132"/>
      <c r="N5" s="132"/>
      <c r="O5" s="132">
        <f t="shared" ref="O5:O11" si="0">SUM(H5:N5)</f>
        <v>3838.64</v>
      </c>
      <c r="P5" s="131">
        <v>323.27</v>
      </c>
      <c r="Q5" s="133">
        <v>310.87</v>
      </c>
      <c r="R5" s="134"/>
      <c r="S5" s="134"/>
      <c r="T5" s="131"/>
      <c r="U5" s="131"/>
      <c r="V5" s="132">
        <f>SUM(P5:U5)</f>
        <v>634.14</v>
      </c>
      <c r="W5" s="135">
        <f>O5-V5</f>
        <v>3204.5</v>
      </c>
      <c r="X5" s="131">
        <v>670</v>
      </c>
      <c r="Y5" s="131"/>
      <c r="Z5" s="136"/>
    </row>
    <row r="6" spans="1:26" s="137" customFormat="1" ht="9" customHeight="1" x14ac:dyDescent="0.25">
      <c r="A6" s="4" t="s">
        <v>57</v>
      </c>
      <c r="B6" s="73" t="s">
        <v>58</v>
      </c>
      <c r="C6" s="73" t="s">
        <v>60</v>
      </c>
      <c r="D6" s="73"/>
      <c r="E6" s="130">
        <v>2</v>
      </c>
      <c r="F6" s="131" t="s">
        <v>61</v>
      </c>
      <c r="G6" s="131">
        <v>111.56</v>
      </c>
      <c r="H6" s="132">
        <f t="shared" ref="H6:H55" si="1">G6*15</f>
        <v>1673.4</v>
      </c>
      <c r="I6" s="131">
        <f t="shared" ref="I6:I55" si="2">G6</f>
        <v>111.56</v>
      </c>
      <c r="J6" s="131">
        <v>111.56</v>
      </c>
      <c r="K6" s="131">
        <v>334.68</v>
      </c>
      <c r="L6" s="131">
        <v>100</v>
      </c>
      <c r="M6" s="132"/>
      <c r="N6" s="131"/>
      <c r="O6" s="132">
        <f t="shared" si="0"/>
        <v>2331.1999999999998</v>
      </c>
      <c r="P6" s="131">
        <v>149.55000000000001</v>
      </c>
      <c r="Q6" s="133">
        <v>250</v>
      </c>
      <c r="R6" s="134">
        <v>40.229999999999997</v>
      </c>
      <c r="S6" s="134"/>
      <c r="T6" s="131"/>
      <c r="U6" s="131"/>
      <c r="V6" s="132">
        <f t="shared" ref="V6:V55" si="3">SUM(P6:U6)</f>
        <v>439.78000000000003</v>
      </c>
      <c r="W6" s="135">
        <f t="shared" ref="W6:W55" si="4">O6-V6</f>
        <v>1891.4199999999998</v>
      </c>
      <c r="X6" s="131">
        <v>100</v>
      </c>
      <c r="Y6" s="131"/>
      <c r="Z6" s="136"/>
    </row>
    <row r="7" spans="1:26" s="137" customFormat="1" ht="9" customHeight="1" x14ac:dyDescent="0.3">
      <c r="A7" s="4" t="s">
        <v>57</v>
      </c>
      <c r="B7" s="73" t="s">
        <v>58</v>
      </c>
      <c r="C7" s="138" t="s">
        <v>62</v>
      </c>
      <c r="D7" s="73"/>
      <c r="E7" s="130">
        <v>3</v>
      </c>
      <c r="F7" s="139" t="s">
        <v>63</v>
      </c>
      <c r="G7" s="132">
        <v>226.66</v>
      </c>
      <c r="H7" s="132">
        <f t="shared" si="1"/>
        <v>3399.9</v>
      </c>
      <c r="I7" s="131">
        <f t="shared" si="2"/>
        <v>226.66</v>
      </c>
      <c r="J7" s="132"/>
      <c r="K7" s="132"/>
      <c r="L7" s="131">
        <v>500</v>
      </c>
      <c r="M7" s="132"/>
      <c r="N7" s="132"/>
      <c r="O7" s="132">
        <f t="shared" si="0"/>
        <v>4126.5599999999995</v>
      </c>
      <c r="P7" s="131">
        <v>369.34</v>
      </c>
      <c r="Q7" s="131"/>
      <c r="R7" s="134">
        <v>46.88</v>
      </c>
      <c r="S7" s="134"/>
      <c r="T7" s="131"/>
      <c r="U7" s="131"/>
      <c r="V7" s="132">
        <f t="shared" si="3"/>
        <v>416.21999999999997</v>
      </c>
      <c r="W7" s="135">
        <f t="shared" si="4"/>
        <v>3710.3399999999997</v>
      </c>
      <c r="X7" s="132">
        <v>500</v>
      </c>
      <c r="Y7" s="132"/>
      <c r="Z7" s="136"/>
    </row>
    <row r="8" spans="1:26" s="137" customFormat="1" ht="9" customHeight="1" x14ac:dyDescent="0.3">
      <c r="A8" s="4" t="s">
        <v>57</v>
      </c>
      <c r="B8" s="73" t="s">
        <v>58</v>
      </c>
      <c r="C8" s="138" t="s">
        <v>65</v>
      </c>
      <c r="D8" s="73"/>
      <c r="E8" s="130">
        <v>4</v>
      </c>
      <c r="F8" s="131" t="s">
        <v>66</v>
      </c>
      <c r="G8" s="131">
        <v>550</v>
      </c>
      <c r="H8" s="132">
        <f t="shared" si="1"/>
        <v>8250</v>
      </c>
      <c r="I8" s="131">
        <f t="shared" si="2"/>
        <v>550</v>
      </c>
      <c r="J8" s="140"/>
      <c r="K8" s="131"/>
      <c r="L8" s="131">
        <f>G8*4</f>
        <v>2200</v>
      </c>
      <c r="M8" s="132"/>
      <c r="N8" s="132"/>
      <c r="O8" s="132">
        <f t="shared" si="0"/>
        <v>11000</v>
      </c>
      <c r="P8" s="131">
        <v>1818.51</v>
      </c>
      <c r="Q8" s="132">
        <v>1500</v>
      </c>
      <c r="R8" s="134">
        <v>56.26</v>
      </c>
      <c r="S8" s="134"/>
      <c r="T8" s="131"/>
      <c r="U8" s="131"/>
      <c r="V8" s="132">
        <f t="shared" si="3"/>
        <v>3374.7700000000004</v>
      </c>
      <c r="W8" s="135">
        <f t="shared" si="4"/>
        <v>7625.23</v>
      </c>
      <c r="X8" s="131"/>
      <c r="Y8" s="131"/>
      <c r="Z8" s="136"/>
    </row>
    <row r="9" spans="1:26" s="137" customFormat="1" ht="9" customHeight="1" x14ac:dyDescent="0.3">
      <c r="A9" s="4" t="s">
        <v>14</v>
      </c>
      <c r="B9" s="73" t="s">
        <v>58</v>
      </c>
      <c r="C9" s="73" t="s">
        <v>17</v>
      </c>
      <c r="D9" s="73"/>
      <c r="E9" s="130">
        <v>5</v>
      </c>
      <c r="F9" s="133" t="s">
        <v>64</v>
      </c>
      <c r="G9" s="132">
        <v>104</v>
      </c>
      <c r="H9" s="132">
        <f t="shared" si="1"/>
        <v>1560</v>
      </c>
      <c r="I9" s="131">
        <f t="shared" si="2"/>
        <v>104</v>
      </c>
      <c r="J9" s="133"/>
      <c r="K9" s="133">
        <v>0</v>
      </c>
      <c r="L9" s="131">
        <v>600</v>
      </c>
      <c r="M9" s="132"/>
      <c r="N9" s="133"/>
      <c r="O9" s="132">
        <f t="shared" si="0"/>
        <v>2264</v>
      </c>
      <c r="P9" s="139">
        <v>142.24</v>
      </c>
      <c r="Q9" s="133">
        <v>0</v>
      </c>
      <c r="R9" s="141"/>
      <c r="S9" s="141"/>
      <c r="T9" s="133"/>
      <c r="U9" s="133"/>
      <c r="V9" s="132">
        <f t="shared" si="3"/>
        <v>142.24</v>
      </c>
      <c r="W9" s="135">
        <f t="shared" si="4"/>
        <v>2121.7600000000002</v>
      </c>
      <c r="X9" s="133">
        <v>600</v>
      </c>
      <c r="Y9" s="133"/>
      <c r="Z9" s="136"/>
    </row>
    <row r="10" spans="1:26" s="137" customFormat="1" ht="9" customHeight="1" x14ac:dyDescent="0.25">
      <c r="A10" s="142" t="s">
        <v>57</v>
      </c>
      <c r="B10" s="73" t="s">
        <v>67</v>
      </c>
      <c r="C10" s="143" t="s">
        <v>68</v>
      </c>
      <c r="D10" s="143"/>
      <c r="E10" s="130">
        <v>6</v>
      </c>
      <c r="F10" s="144" t="s">
        <v>69</v>
      </c>
      <c r="G10" s="133">
        <v>474.93</v>
      </c>
      <c r="H10" s="132">
        <f t="shared" si="1"/>
        <v>7123.95</v>
      </c>
      <c r="I10" s="131">
        <f t="shared" si="2"/>
        <v>474.93</v>
      </c>
      <c r="J10" s="145"/>
      <c r="K10" s="144"/>
      <c r="L10" s="131">
        <v>0</v>
      </c>
      <c r="M10" s="133"/>
      <c r="N10" s="144"/>
      <c r="O10" s="132">
        <f t="shared" si="0"/>
        <v>7598.88</v>
      </c>
      <c r="P10" s="146">
        <v>1075.93</v>
      </c>
      <c r="Q10" s="145"/>
      <c r="R10" s="147"/>
      <c r="S10" s="147"/>
      <c r="T10" s="145"/>
      <c r="U10" s="144"/>
      <c r="V10" s="132">
        <f t="shared" si="3"/>
        <v>1075.93</v>
      </c>
      <c r="W10" s="135">
        <f t="shared" si="4"/>
        <v>6522.95</v>
      </c>
      <c r="X10" s="145"/>
      <c r="Y10" s="145"/>
      <c r="Z10" s="136"/>
    </row>
    <row r="11" spans="1:26" s="137" customFormat="1" ht="9" customHeight="1" x14ac:dyDescent="0.3">
      <c r="A11" s="4" t="s">
        <v>24</v>
      </c>
      <c r="B11" s="73" t="s">
        <v>58</v>
      </c>
      <c r="C11" s="73" t="s">
        <v>25</v>
      </c>
      <c r="D11" s="73"/>
      <c r="E11" s="148">
        <v>7</v>
      </c>
      <c r="F11" s="149" t="s">
        <v>239</v>
      </c>
      <c r="G11" s="150">
        <v>135.5</v>
      </c>
      <c r="H11" s="132">
        <f t="shared" si="1"/>
        <v>2032.5</v>
      </c>
      <c r="I11" s="131">
        <f t="shared" si="2"/>
        <v>135.5</v>
      </c>
      <c r="J11" s="149">
        <v>0</v>
      </c>
      <c r="K11" s="149"/>
      <c r="L11" s="150">
        <v>100</v>
      </c>
      <c r="M11" s="150"/>
      <c r="N11" s="149"/>
      <c r="O11" s="132">
        <f t="shared" si="0"/>
        <v>2268</v>
      </c>
      <c r="P11" s="149">
        <v>142.75</v>
      </c>
      <c r="Q11" s="149"/>
      <c r="R11" s="151"/>
      <c r="S11" s="151"/>
      <c r="T11" s="149"/>
      <c r="U11" s="149"/>
      <c r="V11" s="132">
        <f t="shared" si="3"/>
        <v>142.75</v>
      </c>
      <c r="W11" s="135">
        <f t="shared" si="4"/>
        <v>2125.25</v>
      </c>
      <c r="X11" s="133">
        <v>100</v>
      </c>
      <c r="Y11" s="133"/>
      <c r="Z11" s="136"/>
    </row>
    <row r="12" spans="1:26" s="137" customFormat="1" ht="9" customHeight="1" x14ac:dyDescent="0.3">
      <c r="A12" s="3"/>
      <c r="B12" s="73"/>
      <c r="C12" s="73"/>
      <c r="D12" s="73"/>
      <c r="E12" s="148"/>
      <c r="F12" s="150" t="s">
        <v>292</v>
      </c>
      <c r="G12" s="150"/>
      <c r="H12" s="132"/>
      <c r="I12" s="131"/>
      <c r="J12" s="150"/>
      <c r="K12" s="150"/>
      <c r="L12" s="150"/>
      <c r="M12" s="150"/>
      <c r="N12" s="150"/>
      <c r="O12" s="132"/>
      <c r="P12" s="150"/>
      <c r="Q12" s="199"/>
      <c r="R12" s="162"/>
      <c r="S12" s="162"/>
      <c r="T12" s="150"/>
      <c r="U12" s="150"/>
      <c r="V12" s="132"/>
      <c r="W12" s="135"/>
      <c r="X12" s="132"/>
      <c r="Y12" s="132"/>
      <c r="Z12" s="136"/>
    </row>
    <row r="13" spans="1:26" s="137" customFormat="1" ht="9" customHeight="1" x14ac:dyDescent="0.3">
      <c r="A13" s="3" t="s">
        <v>6</v>
      </c>
      <c r="B13" s="73" t="s">
        <v>58</v>
      </c>
      <c r="C13" s="73" t="s">
        <v>70</v>
      </c>
      <c r="D13" s="73"/>
      <c r="E13" s="130">
        <v>1</v>
      </c>
      <c r="F13" s="132" t="s">
        <v>71</v>
      </c>
      <c r="G13" s="132">
        <v>238.14</v>
      </c>
      <c r="H13" s="132">
        <f t="shared" si="1"/>
        <v>3572.1</v>
      </c>
      <c r="I13" s="131">
        <f t="shared" si="2"/>
        <v>238.14</v>
      </c>
      <c r="J13" s="132">
        <v>0</v>
      </c>
      <c r="K13" s="132">
        <v>0</v>
      </c>
      <c r="L13" s="131">
        <v>128</v>
      </c>
      <c r="M13" s="132"/>
      <c r="N13" s="132"/>
      <c r="O13" s="132">
        <f t="shared" ref="O13:O20" si="5">SUM(H13:N13)</f>
        <v>3938.24</v>
      </c>
      <c r="P13" s="131">
        <v>339.21</v>
      </c>
      <c r="Q13" s="152"/>
      <c r="R13" s="153"/>
      <c r="S13" s="153"/>
      <c r="T13" s="132">
        <v>0</v>
      </c>
      <c r="U13" s="132"/>
      <c r="V13" s="132">
        <f t="shared" si="3"/>
        <v>339.21</v>
      </c>
      <c r="W13" s="135">
        <f t="shared" si="4"/>
        <v>3599.0299999999997</v>
      </c>
      <c r="X13" s="132">
        <v>128</v>
      </c>
      <c r="Y13" s="132"/>
      <c r="Z13" s="136"/>
    </row>
    <row r="14" spans="1:26" s="137" customFormat="1" ht="9" customHeight="1" x14ac:dyDescent="0.3">
      <c r="A14" s="3" t="s">
        <v>6</v>
      </c>
      <c r="B14" s="73" t="s">
        <v>58</v>
      </c>
      <c r="C14" s="73" t="s">
        <v>17</v>
      </c>
      <c r="D14" s="73"/>
      <c r="E14" s="130">
        <v>2</v>
      </c>
      <c r="F14" s="131" t="s">
        <v>72</v>
      </c>
      <c r="G14" s="131">
        <v>138.68</v>
      </c>
      <c r="H14" s="132">
        <f>G14*14</f>
        <v>1941.52</v>
      </c>
      <c r="I14" s="131">
        <f t="shared" si="2"/>
        <v>138.68</v>
      </c>
      <c r="J14" s="131"/>
      <c r="K14" s="131"/>
      <c r="L14" s="131">
        <v>878</v>
      </c>
      <c r="M14" s="132"/>
      <c r="N14" s="132"/>
      <c r="O14" s="132">
        <f t="shared" si="5"/>
        <v>2958.2</v>
      </c>
      <c r="P14" s="131">
        <v>217.77</v>
      </c>
      <c r="Q14" s="133"/>
      <c r="R14" s="134">
        <v>50</v>
      </c>
      <c r="S14" s="134"/>
      <c r="T14" s="131"/>
      <c r="U14" s="131"/>
      <c r="V14" s="132">
        <f t="shared" si="3"/>
        <v>267.77</v>
      </c>
      <c r="W14" s="135">
        <f t="shared" si="4"/>
        <v>2690.43</v>
      </c>
      <c r="X14" s="131">
        <v>128</v>
      </c>
      <c r="Y14" s="131"/>
      <c r="Z14" s="136"/>
    </row>
    <row r="15" spans="1:26" s="137" customFormat="1" ht="9" customHeight="1" x14ac:dyDescent="0.3">
      <c r="A15" s="4" t="s">
        <v>6</v>
      </c>
      <c r="B15" s="73" t="s">
        <v>58</v>
      </c>
      <c r="C15" s="73" t="s">
        <v>73</v>
      </c>
      <c r="D15" s="73"/>
      <c r="E15" s="130">
        <v>3</v>
      </c>
      <c r="F15" s="131" t="s">
        <v>74</v>
      </c>
      <c r="G15" s="131">
        <v>238.14</v>
      </c>
      <c r="H15" s="132">
        <f t="shared" si="1"/>
        <v>3572.1</v>
      </c>
      <c r="I15" s="131">
        <f t="shared" si="2"/>
        <v>238.14</v>
      </c>
      <c r="J15" s="131">
        <v>0</v>
      </c>
      <c r="K15" s="131"/>
      <c r="L15" s="131">
        <v>128</v>
      </c>
      <c r="M15" s="132"/>
      <c r="N15" s="132"/>
      <c r="O15" s="132">
        <f t="shared" si="5"/>
        <v>3938.24</v>
      </c>
      <c r="P15" s="131">
        <v>339.21</v>
      </c>
      <c r="Q15" s="133">
        <v>500</v>
      </c>
      <c r="R15" s="134"/>
      <c r="S15" s="134"/>
      <c r="T15" s="131"/>
      <c r="U15" s="131"/>
      <c r="V15" s="132">
        <f t="shared" si="3"/>
        <v>839.21</v>
      </c>
      <c r="W15" s="135">
        <f t="shared" si="4"/>
        <v>3099.0299999999997</v>
      </c>
      <c r="X15" s="131">
        <v>128</v>
      </c>
      <c r="Y15" s="131"/>
      <c r="Z15" s="136"/>
    </row>
    <row r="16" spans="1:26" s="137" customFormat="1" ht="9" customHeight="1" x14ac:dyDescent="0.3">
      <c r="A16" s="4" t="s">
        <v>6</v>
      </c>
      <c r="B16" s="73" t="s">
        <v>58</v>
      </c>
      <c r="C16" s="73" t="s">
        <v>75</v>
      </c>
      <c r="D16" s="73"/>
      <c r="E16" s="130">
        <v>4</v>
      </c>
      <c r="F16" s="131" t="s">
        <v>76</v>
      </c>
      <c r="G16" s="131">
        <v>695.4</v>
      </c>
      <c r="H16" s="132">
        <f t="shared" si="1"/>
        <v>10431</v>
      </c>
      <c r="I16" s="131">
        <f t="shared" si="2"/>
        <v>695.4</v>
      </c>
      <c r="J16" s="131"/>
      <c r="K16" s="131">
        <f>G16*2</f>
        <v>1390.8</v>
      </c>
      <c r="L16" s="131">
        <v>0</v>
      </c>
      <c r="M16" s="132"/>
      <c r="N16" s="132"/>
      <c r="O16" s="132">
        <f t="shared" si="5"/>
        <v>12517.199999999999</v>
      </c>
      <c r="P16" s="131">
        <v>2375.31</v>
      </c>
      <c r="Q16" s="132"/>
      <c r="R16" s="134"/>
      <c r="S16" s="134"/>
      <c r="T16" s="131"/>
      <c r="U16" s="131"/>
      <c r="V16" s="132">
        <f t="shared" si="3"/>
        <v>2375.31</v>
      </c>
      <c r="W16" s="135">
        <f t="shared" si="4"/>
        <v>10141.89</v>
      </c>
      <c r="X16" s="131"/>
      <c r="Y16" s="131"/>
      <c r="Z16" s="136"/>
    </row>
    <row r="17" spans="1:26" s="137" customFormat="1" ht="9" customHeight="1" x14ac:dyDescent="0.3">
      <c r="A17" s="3" t="s">
        <v>6</v>
      </c>
      <c r="B17" s="73" t="s">
        <v>58</v>
      </c>
      <c r="C17" s="73" t="s">
        <v>17</v>
      </c>
      <c r="D17" s="73"/>
      <c r="E17" s="130">
        <v>5</v>
      </c>
      <c r="F17" s="139" t="s">
        <v>77</v>
      </c>
      <c r="G17" s="131">
        <v>124.80000000000001</v>
      </c>
      <c r="H17" s="132">
        <f t="shared" si="1"/>
        <v>1872.0000000000002</v>
      </c>
      <c r="I17" s="131">
        <f t="shared" si="2"/>
        <v>124.80000000000001</v>
      </c>
      <c r="J17" s="131">
        <v>249.60000000000002</v>
      </c>
      <c r="K17" s="131">
        <v>374.4</v>
      </c>
      <c r="L17" s="131">
        <v>2150</v>
      </c>
      <c r="M17" s="132"/>
      <c r="N17" s="132">
        <v>0</v>
      </c>
      <c r="O17" s="132">
        <f t="shared" si="5"/>
        <v>4770.8</v>
      </c>
      <c r="P17" s="131">
        <v>482.43</v>
      </c>
      <c r="Q17" s="132"/>
      <c r="R17" s="134">
        <v>37.5</v>
      </c>
      <c r="S17" s="134"/>
      <c r="T17" s="131"/>
      <c r="U17" s="131"/>
      <c r="V17" s="132">
        <f t="shared" si="3"/>
        <v>519.93000000000006</v>
      </c>
      <c r="W17" s="135">
        <f t="shared" si="4"/>
        <v>4250.87</v>
      </c>
      <c r="X17" s="131">
        <v>350</v>
      </c>
      <c r="Y17" s="131"/>
      <c r="Z17" s="136"/>
    </row>
    <row r="18" spans="1:26" s="137" customFormat="1" ht="9" customHeight="1" x14ac:dyDescent="0.3">
      <c r="A18" s="6" t="s">
        <v>6</v>
      </c>
      <c r="B18" s="73" t="s">
        <v>58</v>
      </c>
      <c r="C18" s="154" t="s">
        <v>78</v>
      </c>
      <c r="D18" s="154"/>
      <c r="E18" s="155">
        <v>6</v>
      </c>
      <c r="F18" s="139" t="s">
        <v>79</v>
      </c>
      <c r="G18" s="139">
        <v>121.34</v>
      </c>
      <c r="H18" s="132">
        <f t="shared" si="1"/>
        <v>1820.1000000000001</v>
      </c>
      <c r="I18" s="131">
        <f t="shared" si="2"/>
        <v>121.34</v>
      </c>
      <c r="J18" s="139"/>
      <c r="K18" s="139">
        <f>G18*4</f>
        <v>485.36</v>
      </c>
      <c r="L18" s="131">
        <v>380</v>
      </c>
      <c r="M18" s="132"/>
      <c r="N18" s="132"/>
      <c r="O18" s="132">
        <f t="shared" si="5"/>
        <v>2806.8</v>
      </c>
      <c r="P18" s="139">
        <v>201.3</v>
      </c>
      <c r="Q18" s="133"/>
      <c r="R18" s="156"/>
      <c r="S18" s="156"/>
      <c r="T18" s="139"/>
      <c r="U18" s="139"/>
      <c r="V18" s="132">
        <f t="shared" si="3"/>
        <v>201.3</v>
      </c>
      <c r="W18" s="135">
        <f t="shared" si="4"/>
        <v>2605.5</v>
      </c>
      <c r="X18" s="139">
        <v>380</v>
      </c>
      <c r="Y18" s="139"/>
      <c r="Z18" s="136"/>
    </row>
    <row r="19" spans="1:26" s="137" customFormat="1" ht="9" customHeight="1" x14ac:dyDescent="0.3">
      <c r="A19" s="4" t="s">
        <v>6</v>
      </c>
      <c r="B19" s="73" t="s">
        <v>58</v>
      </c>
      <c r="C19" s="73" t="s">
        <v>9</v>
      </c>
      <c r="D19" s="73"/>
      <c r="E19" s="130">
        <v>7</v>
      </c>
      <c r="F19" s="133" t="s">
        <v>80</v>
      </c>
      <c r="G19" s="133">
        <v>156</v>
      </c>
      <c r="H19" s="132">
        <f t="shared" si="1"/>
        <v>2340</v>
      </c>
      <c r="I19" s="131">
        <f t="shared" si="2"/>
        <v>156</v>
      </c>
      <c r="J19" s="133"/>
      <c r="K19" s="133"/>
      <c r="L19" s="131">
        <v>180</v>
      </c>
      <c r="M19" s="132"/>
      <c r="N19" s="132"/>
      <c r="O19" s="132">
        <f t="shared" si="5"/>
        <v>2676</v>
      </c>
      <c r="P19" s="139">
        <v>187.07</v>
      </c>
      <c r="Q19" s="133"/>
      <c r="R19" s="141"/>
      <c r="S19" s="141"/>
      <c r="T19" s="133"/>
      <c r="U19" s="133"/>
      <c r="V19" s="132">
        <f t="shared" si="3"/>
        <v>187.07</v>
      </c>
      <c r="W19" s="135">
        <f t="shared" si="4"/>
        <v>2488.9299999999998</v>
      </c>
      <c r="X19" s="133">
        <v>180</v>
      </c>
      <c r="Y19" s="133"/>
      <c r="Z19" s="136"/>
    </row>
    <row r="20" spans="1:26" s="137" customFormat="1" ht="9" customHeight="1" x14ac:dyDescent="0.3">
      <c r="A20" s="4" t="s">
        <v>6</v>
      </c>
      <c r="B20" s="73" t="s">
        <v>58</v>
      </c>
      <c r="C20" s="73" t="s">
        <v>17</v>
      </c>
      <c r="D20" s="73"/>
      <c r="E20" s="130">
        <v>8</v>
      </c>
      <c r="F20" s="133" t="s">
        <v>81</v>
      </c>
      <c r="G20" s="157">
        <v>104</v>
      </c>
      <c r="H20" s="132">
        <f t="shared" si="1"/>
        <v>1560</v>
      </c>
      <c r="I20" s="131">
        <f t="shared" si="2"/>
        <v>104</v>
      </c>
      <c r="J20" s="157"/>
      <c r="K20" s="157"/>
      <c r="L20" s="145">
        <v>710</v>
      </c>
      <c r="M20" s="157"/>
      <c r="N20" s="157">
        <v>0</v>
      </c>
      <c r="O20" s="132">
        <f t="shared" si="5"/>
        <v>2374</v>
      </c>
      <c r="P20" s="144">
        <v>154.21</v>
      </c>
      <c r="Q20" s="157">
        <v>0</v>
      </c>
      <c r="R20" s="158"/>
      <c r="S20" s="158"/>
      <c r="T20" s="157"/>
      <c r="U20" s="157"/>
      <c r="V20" s="132">
        <f t="shared" si="3"/>
        <v>154.21</v>
      </c>
      <c r="W20" s="135">
        <f t="shared" si="4"/>
        <v>2219.79</v>
      </c>
      <c r="X20" s="133">
        <v>110</v>
      </c>
      <c r="Y20" s="133">
        <v>150</v>
      </c>
      <c r="Z20" s="136"/>
    </row>
    <row r="21" spans="1:26" s="137" customFormat="1" ht="9" customHeight="1" x14ac:dyDescent="0.3">
      <c r="A21" s="4" t="s">
        <v>11</v>
      </c>
      <c r="B21" s="73" t="s">
        <v>58</v>
      </c>
      <c r="C21" s="73" t="s">
        <v>12</v>
      </c>
      <c r="D21" s="73"/>
      <c r="E21" s="130">
        <v>1</v>
      </c>
      <c r="F21" s="133" t="s">
        <v>82</v>
      </c>
      <c r="G21" s="132">
        <v>194.8</v>
      </c>
      <c r="H21" s="132">
        <f t="shared" si="1"/>
        <v>2922</v>
      </c>
      <c r="I21" s="131">
        <f t="shared" si="2"/>
        <v>194.8</v>
      </c>
      <c r="J21" s="133"/>
      <c r="K21" s="133"/>
      <c r="L21" s="131">
        <v>665</v>
      </c>
      <c r="M21" s="132"/>
      <c r="N21" s="132"/>
      <c r="O21" s="132">
        <f>SUM(H21:N21)</f>
        <v>3781.8</v>
      </c>
      <c r="P21" s="131">
        <v>314.18</v>
      </c>
      <c r="Q21" s="133">
        <v>500</v>
      </c>
      <c r="R21" s="141"/>
      <c r="S21" s="141"/>
      <c r="T21" s="133"/>
      <c r="U21" s="133"/>
      <c r="V21" s="132">
        <f t="shared" si="3"/>
        <v>814.18000000000006</v>
      </c>
      <c r="W21" s="135">
        <f t="shared" si="4"/>
        <v>2967.62</v>
      </c>
      <c r="X21" s="133">
        <v>165</v>
      </c>
      <c r="Y21" s="133"/>
      <c r="Z21" s="136"/>
    </row>
    <row r="22" spans="1:26" s="137" customFormat="1" ht="9" customHeight="1" x14ac:dyDescent="0.3">
      <c r="A22" s="4" t="s">
        <v>11</v>
      </c>
      <c r="B22" s="73" t="s">
        <v>67</v>
      </c>
      <c r="C22" s="73" t="s">
        <v>83</v>
      </c>
      <c r="D22" s="73"/>
      <c r="E22" s="130">
        <v>2</v>
      </c>
      <c r="F22" s="139" t="s">
        <v>84</v>
      </c>
      <c r="G22" s="132">
        <v>605</v>
      </c>
      <c r="H22" s="132">
        <f t="shared" si="1"/>
        <v>9075</v>
      </c>
      <c r="I22" s="131">
        <f t="shared" si="2"/>
        <v>605</v>
      </c>
      <c r="J22" s="131"/>
      <c r="K22" s="139"/>
      <c r="L22" s="131">
        <v>200</v>
      </c>
      <c r="M22" s="132"/>
      <c r="N22" s="139"/>
      <c r="O22" s="132">
        <f>SUM(H22:N22)</f>
        <v>9880</v>
      </c>
      <c r="P22" s="132">
        <v>1563.18</v>
      </c>
      <c r="Q22" s="131"/>
      <c r="R22" s="134">
        <v>237.12</v>
      </c>
      <c r="S22" s="134"/>
      <c r="T22" s="131"/>
      <c r="U22" s="139"/>
      <c r="V22" s="132">
        <f t="shared" si="3"/>
        <v>1800.3000000000002</v>
      </c>
      <c r="W22" s="135">
        <f t="shared" si="4"/>
        <v>8079.7</v>
      </c>
      <c r="X22" s="131"/>
      <c r="Y22" s="131"/>
      <c r="Z22" s="136"/>
    </row>
    <row r="23" spans="1:26" s="137" customFormat="1" ht="9" customHeight="1" x14ac:dyDescent="0.3">
      <c r="A23" s="160"/>
      <c r="B23" s="161"/>
      <c r="C23" s="161"/>
      <c r="D23" s="161"/>
      <c r="E23" s="148">
        <v>3</v>
      </c>
      <c r="F23" s="149" t="s">
        <v>132</v>
      </c>
      <c r="G23" s="150">
        <v>300</v>
      </c>
      <c r="H23" s="132">
        <f t="shared" si="1"/>
        <v>4500</v>
      </c>
      <c r="I23" s="131">
        <f t="shared" si="2"/>
        <v>300</v>
      </c>
      <c r="J23" s="150"/>
      <c r="K23" s="149"/>
      <c r="L23" s="131">
        <v>0</v>
      </c>
      <c r="M23" s="150"/>
      <c r="N23" s="149"/>
      <c r="O23" s="132">
        <f>SUM(H23:N23)</f>
        <v>4800</v>
      </c>
      <c r="P23" s="150">
        <v>487.67</v>
      </c>
      <c r="Q23" s="150"/>
      <c r="R23" s="162"/>
      <c r="S23" s="162"/>
      <c r="T23" s="150"/>
      <c r="U23" s="149"/>
      <c r="V23" s="132">
        <f t="shared" si="3"/>
        <v>487.67</v>
      </c>
      <c r="W23" s="135">
        <f t="shared" si="4"/>
        <v>4312.33</v>
      </c>
      <c r="X23" s="150"/>
      <c r="Y23" s="150"/>
      <c r="Z23" s="136"/>
    </row>
    <row r="24" spans="1:26" s="137" customFormat="1" ht="9" customHeight="1" x14ac:dyDescent="0.3">
      <c r="A24" s="4" t="s">
        <v>14</v>
      </c>
      <c r="B24" s="73" t="s">
        <v>85</v>
      </c>
      <c r="C24" s="73" t="s">
        <v>78</v>
      </c>
      <c r="D24" s="73"/>
      <c r="E24" s="130">
        <v>1</v>
      </c>
      <c r="F24" s="131" t="s">
        <v>86</v>
      </c>
      <c r="G24" s="139">
        <v>200.7</v>
      </c>
      <c r="H24" s="132">
        <f t="shared" si="1"/>
        <v>3010.5</v>
      </c>
      <c r="I24" s="131">
        <f t="shared" si="2"/>
        <v>200.7</v>
      </c>
      <c r="J24" s="139"/>
      <c r="K24" s="139">
        <f>G24*2</f>
        <v>401.4</v>
      </c>
      <c r="L24" s="139">
        <v>1100</v>
      </c>
      <c r="M24" s="133">
        <v>2007</v>
      </c>
      <c r="N24" s="133">
        <v>561.96</v>
      </c>
      <c r="O24" s="132">
        <f t="shared" ref="O24:O36" si="6">SUM(H24:N24)</f>
        <v>7281.56</v>
      </c>
      <c r="P24" s="139">
        <v>1008.15</v>
      </c>
      <c r="Q24" s="133"/>
      <c r="R24" s="156"/>
      <c r="S24" s="156"/>
      <c r="T24" s="139">
        <v>0</v>
      </c>
      <c r="U24" s="139">
        <v>28.05</v>
      </c>
      <c r="V24" s="132">
        <f t="shared" si="3"/>
        <v>1036.2</v>
      </c>
      <c r="W24" s="135">
        <f t="shared" si="4"/>
        <v>6245.3600000000006</v>
      </c>
      <c r="X24" s="139">
        <v>1100</v>
      </c>
      <c r="Y24" s="139"/>
      <c r="Z24" s="136"/>
    </row>
    <row r="25" spans="1:26" s="137" customFormat="1" ht="9" customHeight="1" x14ac:dyDescent="0.3">
      <c r="A25" s="4" t="s">
        <v>14</v>
      </c>
      <c r="B25" s="73" t="s">
        <v>58</v>
      </c>
      <c r="C25" s="73" t="s">
        <v>17</v>
      </c>
      <c r="D25" s="73"/>
      <c r="E25" s="130">
        <v>2</v>
      </c>
      <c r="F25" s="133" t="s">
        <v>87</v>
      </c>
      <c r="G25" s="133">
        <v>104</v>
      </c>
      <c r="H25" s="132">
        <f>G25*14</f>
        <v>1456</v>
      </c>
      <c r="I25" s="131">
        <f t="shared" si="2"/>
        <v>104</v>
      </c>
      <c r="J25" s="133"/>
      <c r="K25" s="133">
        <v>0</v>
      </c>
      <c r="L25" s="139">
        <v>400</v>
      </c>
      <c r="M25" s="133"/>
      <c r="N25" s="133"/>
      <c r="O25" s="132">
        <f t="shared" si="6"/>
        <v>1960</v>
      </c>
      <c r="P25" s="139">
        <v>114.42</v>
      </c>
      <c r="Q25" s="133"/>
      <c r="R25" s="141"/>
      <c r="S25" s="141"/>
      <c r="T25" s="133"/>
      <c r="U25" s="133"/>
      <c r="V25" s="132">
        <f t="shared" si="3"/>
        <v>114.42</v>
      </c>
      <c r="W25" s="135">
        <f t="shared" si="4"/>
        <v>1845.58</v>
      </c>
      <c r="X25" s="133">
        <v>100</v>
      </c>
      <c r="Y25" s="133">
        <v>900</v>
      </c>
      <c r="Z25" s="136"/>
    </row>
    <row r="26" spans="1:26" s="137" customFormat="1" ht="9" customHeight="1" x14ac:dyDescent="0.3">
      <c r="A26" s="4" t="s">
        <v>24</v>
      </c>
      <c r="B26" s="73" t="s">
        <v>58</v>
      </c>
      <c r="C26" s="73" t="s">
        <v>118</v>
      </c>
      <c r="D26" s="73"/>
      <c r="E26" s="130">
        <v>3</v>
      </c>
      <c r="F26" s="139" t="s">
        <v>232</v>
      </c>
      <c r="G26" s="139">
        <v>104</v>
      </c>
      <c r="H26" s="132">
        <f t="shared" si="1"/>
        <v>1560</v>
      </c>
      <c r="I26" s="131">
        <f t="shared" si="2"/>
        <v>104</v>
      </c>
      <c r="J26" s="139"/>
      <c r="K26" s="139"/>
      <c r="L26" s="139">
        <v>900</v>
      </c>
      <c r="M26" s="139"/>
      <c r="N26" s="139"/>
      <c r="O26" s="132">
        <f t="shared" si="6"/>
        <v>2564</v>
      </c>
      <c r="P26" s="133">
        <v>174.88</v>
      </c>
      <c r="Q26" s="139"/>
      <c r="R26" s="156"/>
      <c r="S26" s="156"/>
      <c r="T26" s="139"/>
      <c r="U26" s="139"/>
      <c r="V26" s="132">
        <f t="shared" si="3"/>
        <v>174.88</v>
      </c>
      <c r="W26" s="135">
        <f t="shared" si="4"/>
        <v>2389.12</v>
      </c>
      <c r="X26" s="133">
        <v>100</v>
      </c>
      <c r="Y26" s="139">
        <v>1400</v>
      </c>
      <c r="Z26" s="136"/>
    </row>
    <row r="27" spans="1:26" s="137" customFormat="1" ht="9" customHeight="1" x14ac:dyDescent="0.3">
      <c r="A27" s="4" t="s">
        <v>14</v>
      </c>
      <c r="B27" s="73" t="s">
        <v>58</v>
      </c>
      <c r="C27" s="73" t="s">
        <v>17</v>
      </c>
      <c r="D27" s="73"/>
      <c r="E27" s="130">
        <v>4</v>
      </c>
      <c r="F27" s="163" t="s">
        <v>241</v>
      </c>
      <c r="G27" s="141">
        <v>124.66</v>
      </c>
      <c r="H27" s="132">
        <f t="shared" si="1"/>
        <v>1869.8999999999999</v>
      </c>
      <c r="I27" s="131">
        <f t="shared" si="2"/>
        <v>124.66</v>
      </c>
      <c r="J27" s="133"/>
      <c r="K27" s="133"/>
      <c r="L27" s="139">
        <v>850</v>
      </c>
      <c r="M27" s="133"/>
      <c r="N27" s="133"/>
      <c r="O27" s="132">
        <f t="shared" si="6"/>
        <v>2844.56</v>
      </c>
      <c r="P27" s="139">
        <v>205.41</v>
      </c>
      <c r="Q27" s="133"/>
      <c r="R27" s="141"/>
      <c r="S27" s="141"/>
      <c r="T27" s="133"/>
      <c r="U27" s="133"/>
      <c r="V27" s="132">
        <f t="shared" si="3"/>
        <v>205.41</v>
      </c>
      <c r="W27" s="135">
        <f t="shared" si="4"/>
        <v>2639.15</v>
      </c>
      <c r="X27" s="133">
        <v>250</v>
      </c>
      <c r="Y27" s="133">
        <v>1050</v>
      </c>
      <c r="Z27" s="136"/>
    </row>
    <row r="28" spans="1:26" s="137" customFormat="1" ht="9" customHeight="1" x14ac:dyDescent="0.3">
      <c r="A28" s="4" t="s">
        <v>14</v>
      </c>
      <c r="B28" s="73" t="s">
        <v>58</v>
      </c>
      <c r="C28" s="73" t="s">
        <v>17</v>
      </c>
      <c r="D28" s="73"/>
      <c r="E28" s="130">
        <v>5</v>
      </c>
      <c r="F28" s="163" t="s">
        <v>88</v>
      </c>
      <c r="G28" s="141">
        <v>124.66</v>
      </c>
      <c r="H28" s="132">
        <f t="shared" si="1"/>
        <v>1869.8999999999999</v>
      </c>
      <c r="I28" s="131">
        <f t="shared" si="2"/>
        <v>124.66</v>
      </c>
      <c r="J28" s="133"/>
      <c r="K28" s="133">
        <f>G28*5</f>
        <v>623.29999999999995</v>
      </c>
      <c r="L28" s="139">
        <v>650</v>
      </c>
      <c r="M28" s="133"/>
      <c r="N28" s="133"/>
      <c r="O28" s="132">
        <f t="shared" si="6"/>
        <v>3267.8599999999997</v>
      </c>
      <c r="P28" s="139">
        <v>251.46</v>
      </c>
      <c r="Q28" s="133"/>
      <c r="R28" s="141"/>
      <c r="S28" s="141"/>
      <c r="T28" s="133"/>
      <c r="U28" s="133"/>
      <c r="V28" s="132">
        <f t="shared" si="3"/>
        <v>251.46</v>
      </c>
      <c r="W28" s="135">
        <f t="shared" si="4"/>
        <v>3016.3999999999996</v>
      </c>
      <c r="X28" s="133">
        <v>450</v>
      </c>
      <c r="Y28" s="133"/>
      <c r="Z28" s="136"/>
    </row>
    <row r="29" spans="1:26" s="137" customFormat="1" ht="9" customHeight="1" x14ac:dyDescent="0.3">
      <c r="A29" s="4" t="s">
        <v>14</v>
      </c>
      <c r="B29" s="73" t="s">
        <v>58</v>
      </c>
      <c r="C29" s="73" t="s">
        <v>17</v>
      </c>
      <c r="D29" s="73"/>
      <c r="E29" s="130">
        <v>6</v>
      </c>
      <c r="F29" s="163" t="s">
        <v>89</v>
      </c>
      <c r="G29" s="141">
        <v>104</v>
      </c>
      <c r="H29" s="132">
        <f t="shared" si="1"/>
        <v>1560</v>
      </c>
      <c r="I29" s="131">
        <f t="shared" si="2"/>
        <v>104</v>
      </c>
      <c r="J29" s="133"/>
      <c r="K29" s="164">
        <v>520</v>
      </c>
      <c r="L29" s="139">
        <v>1400</v>
      </c>
      <c r="M29" s="133"/>
      <c r="N29" s="133"/>
      <c r="O29" s="132">
        <f t="shared" si="6"/>
        <v>3584</v>
      </c>
      <c r="P29" s="139">
        <v>285.86</v>
      </c>
      <c r="Q29" s="133"/>
      <c r="R29" s="141"/>
      <c r="S29" s="141"/>
      <c r="T29" s="133"/>
      <c r="U29" s="133"/>
      <c r="V29" s="132">
        <f t="shared" si="3"/>
        <v>285.86</v>
      </c>
      <c r="W29" s="135">
        <f t="shared" si="4"/>
        <v>3298.14</v>
      </c>
      <c r="X29" s="133">
        <v>600</v>
      </c>
      <c r="Y29" s="133">
        <v>1500</v>
      </c>
      <c r="Z29" s="136"/>
    </row>
    <row r="30" spans="1:26" s="137" customFormat="1" ht="9" customHeight="1" x14ac:dyDescent="0.3">
      <c r="A30" s="4" t="s">
        <v>14</v>
      </c>
      <c r="B30" s="73" t="s">
        <v>58</v>
      </c>
      <c r="C30" s="73" t="s">
        <v>17</v>
      </c>
      <c r="D30" s="73"/>
      <c r="E30" s="130">
        <v>7</v>
      </c>
      <c r="F30" s="165" t="s">
        <v>90</v>
      </c>
      <c r="G30" s="141">
        <v>104</v>
      </c>
      <c r="H30" s="132">
        <f t="shared" si="1"/>
        <v>1560</v>
      </c>
      <c r="I30" s="131">
        <f t="shared" si="2"/>
        <v>104</v>
      </c>
      <c r="J30" s="133"/>
      <c r="K30" s="133"/>
      <c r="L30" s="139">
        <v>550</v>
      </c>
      <c r="M30" s="133"/>
      <c r="N30" s="133">
        <f>G30*6*0.25</f>
        <v>156</v>
      </c>
      <c r="O30" s="132">
        <f t="shared" si="6"/>
        <v>2370</v>
      </c>
      <c r="P30" s="139">
        <v>153.77000000000001</v>
      </c>
      <c r="Q30" s="133"/>
      <c r="R30" s="141"/>
      <c r="S30" s="141"/>
      <c r="T30" s="133"/>
      <c r="U30" s="133"/>
      <c r="V30" s="132">
        <f t="shared" si="3"/>
        <v>153.77000000000001</v>
      </c>
      <c r="W30" s="135">
        <f t="shared" si="4"/>
        <v>2216.23</v>
      </c>
      <c r="X30" s="133">
        <v>100</v>
      </c>
      <c r="Y30" s="133">
        <v>300</v>
      </c>
      <c r="Z30" s="136"/>
    </row>
    <row r="31" spans="1:26" s="137" customFormat="1" ht="9" customHeight="1" x14ac:dyDescent="0.3">
      <c r="A31" s="4" t="s">
        <v>14</v>
      </c>
      <c r="B31" s="73" t="s">
        <v>58</v>
      </c>
      <c r="C31" s="73" t="s">
        <v>17</v>
      </c>
      <c r="D31" s="73"/>
      <c r="E31" s="130">
        <v>8</v>
      </c>
      <c r="F31" s="165" t="s">
        <v>91</v>
      </c>
      <c r="G31" s="141">
        <v>104</v>
      </c>
      <c r="H31" s="132">
        <f t="shared" si="1"/>
        <v>1560</v>
      </c>
      <c r="I31" s="131">
        <f t="shared" si="2"/>
        <v>104</v>
      </c>
      <c r="J31" s="133"/>
      <c r="K31" s="133"/>
      <c r="L31" s="139">
        <v>850</v>
      </c>
      <c r="M31" s="133"/>
      <c r="N31" s="133"/>
      <c r="O31" s="132">
        <f t="shared" si="6"/>
        <v>2514</v>
      </c>
      <c r="P31" s="139">
        <v>169.44</v>
      </c>
      <c r="Q31" s="133"/>
      <c r="R31" s="141"/>
      <c r="S31" s="141"/>
      <c r="T31" s="133"/>
      <c r="U31" s="133"/>
      <c r="V31" s="132">
        <f t="shared" si="3"/>
        <v>169.44</v>
      </c>
      <c r="W31" s="135">
        <f t="shared" si="4"/>
        <v>2344.56</v>
      </c>
      <c r="X31" s="133">
        <v>100</v>
      </c>
      <c r="Y31" s="133">
        <f>150*7</f>
        <v>1050</v>
      </c>
      <c r="Z31" s="136"/>
    </row>
    <row r="32" spans="1:26" s="137" customFormat="1" ht="9" customHeight="1" x14ac:dyDescent="0.3">
      <c r="A32" s="4" t="s">
        <v>14</v>
      </c>
      <c r="B32" s="73" t="s">
        <v>58</v>
      </c>
      <c r="C32" s="73" t="s">
        <v>17</v>
      </c>
      <c r="D32" s="73"/>
      <c r="E32" s="130">
        <v>9</v>
      </c>
      <c r="F32" s="139" t="s">
        <v>92</v>
      </c>
      <c r="G32" s="133">
        <v>104</v>
      </c>
      <c r="H32" s="132">
        <f t="shared" si="1"/>
        <v>1560</v>
      </c>
      <c r="I32" s="131">
        <f t="shared" si="2"/>
        <v>104</v>
      </c>
      <c r="J32" s="139"/>
      <c r="K32" s="139"/>
      <c r="L32" s="139">
        <v>250</v>
      </c>
      <c r="M32" s="133"/>
      <c r="N32" s="139"/>
      <c r="O32" s="132">
        <f t="shared" si="6"/>
        <v>1914</v>
      </c>
      <c r="P32" s="133">
        <v>111.48</v>
      </c>
      <c r="Q32" s="139"/>
      <c r="R32" s="156"/>
      <c r="S32" s="156"/>
      <c r="T32" s="139"/>
      <c r="U32" s="139"/>
      <c r="V32" s="132">
        <f t="shared" si="3"/>
        <v>111.48</v>
      </c>
      <c r="W32" s="135">
        <f t="shared" si="4"/>
        <v>1802.52</v>
      </c>
      <c r="X32" s="133">
        <v>100</v>
      </c>
      <c r="Y32" s="4">
        <v>450</v>
      </c>
      <c r="Z32" s="136"/>
    </row>
    <row r="33" spans="1:26" s="137" customFormat="1" ht="9" customHeight="1" x14ac:dyDescent="0.3">
      <c r="A33" s="4" t="s">
        <v>14</v>
      </c>
      <c r="B33" s="73" t="s">
        <v>58</v>
      </c>
      <c r="C33" s="73" t="s">
        <v>78</v>
      </c>
      <c r="D33" s="73"/>
      <c r="E33" s="130">
        <v>10</v>
      </c>
      <c r="F33" s="133" t="s">
        <v>93</v>
      </c>
      <c r="G33" s="133">
        <v>150</v>
      </c>
      <c r="H33" s="132">
        <f t="shared" si="1"/>
        <v>2250</v>
      </c>
      <c r="I33" s="131">
        <f t="shared" si="2"/>
        <v>150</v>
      </c>
      <c r="J33" s="133"/>
      <c r="K33" s="133">
        <f>G33*2</f>
        <v>300</v>
      </c>
      <c r="L33" s="139">
        <v>100</v>
      </c>
      <c r="M33" s="133"/>
      <c r="N33" s="139"/>
      <c r="O33" s="132">
        <f t="shared" si="6"/>
        <v>2800</v>
      </c>
      <c r="P33" s="133">
        <v>200.56</v>
      </c>
      <c r="Q33" s="139"/>
      <c r="R33" s="156"/>
      <c r="S33" s="156"/>
      <c r="T33" s="139"/>
      <c r="U33" s="139"/>
      <c r="V33" s="132">
        <f t="shared" si="3"/>
        <v>200.56</v>
      </c>
      <c r="W33" s="135">
        <f t="shared" si="4"/>
        <v>2599.44</v>
      </c>
      <c r="X33" s="133">
        <v>100</v>
      </c>
      <c r="Y33" s="4"/>
      <c r="Z33" s="136"/>
    </row>
    <row r="34" spans="1:26" s="137" customFormat="1" ht="9" customHeight="1" x14ac:dyDescent="0.3">
      <c r="A34" s="4" t="s">
        <v>14</v>
      </c>
      <c r="B34" s="73" t="s">
        <v>58</v>
      </c>
      <c r="C34" s="73"/>
      <c r="D34" s="73"/>
      <c r="E34" s="148">
        <v>12</v>
      </c>
      <c r="F34" s="149" t="s">
        <v>133</v>
      </c>
      <c r="G34" s="132">
        <v>104</v>
      </c>
      <c r="H34" s="132">
        <f t="shared" si="1"/>
        <v>1560</v>
      </c>
      <c r="I34" s="131">
        <f t="shared" si="2"/>
        <v>104</v>
      </c>
      <c r="J34" s="133"/>
      <c r="K34" s="133"/>
      <c r="L34" s="131">
        <v>1450</v>
      </c>
      <c r="M34" s="132"/>
      <c r="N34" s="139"/>
      <c r="O34" s="132">
        <f t="shared" si="6"/>
        <v>3114</v>
      </c>
      <c r="P34" s="132">
        <v>234.74</v>
      </c>
      <c r="Q34" s="131"/>
      <c r="R34" s="134"/>
      <c r="S34" s="134"/>
      <c r="T34" s="131"/>
      <c r="U34" s="139"/>
      <c r="V34" s="132">
        <f t="shared" si="3"/>
        <v>234.74</v>
      </c>
      <c r="W34" s="135">
        <f t="shared" si="4"/>
        <v>2879.26</v>
      </c>
      <c r="X34" s="133">
        <v>100</v>
      </c>
      <c r="Y34" s="4">
        <f>150*13</f>
        <v>1950</v>
      </c>
      <c r="Z34" s="136"/>
    </row>
    <row r="35" spans="1:26" s="137" customFormat="1" ht="9" customHeight="1" x14ac:dyDescent="0.3">
      <c r="A35" s="4" t="s">
        <v>14</v>
      </c>
      <c r="B35" s="73" t="s">
        <v>58</v>
      </c>
      <c r="C35" s="73"/>
      <c r="D35" s="73"/>
      <c r="E35" s="148">
        <v>12</v>
      </c>
      <c r="F35" s="149" t="s">
        <v>134</v>
      </c>
      <c r="G35" s="150">
        <v>104</v>
      </c>
      <c r="H35" s="132">
        <f t="shared" si="1"/>
        <v>1560</v>
      </c>
      <c r="I35" s="131">
        <f t="shared" si="2"/>
        <v>104</v>
      </c>
      <c r="J35" s="149"/>
      <c r="K35" s="149"/>
      <c r="L35" s="150">
        <v>850</v>
      </c>
      <c r="M35" s="150"/>
      <c r="N35" s="149"/>
      <c r="O35" s="132">
        <f t="shared" si="6"/>
        <v>2514</v>
      </c>
      <c r="P35" s="150">
        <v>169.44</v>
      </c>
      <c r="Q35" s="150"/>
      <c r="R35" s="162"/>
      <c r="S35" s="162"/>
      <c r="T35" s="150"/>
      <c r="U35" s="149"/>
      <c r="V35" s="132">
        <f t="shared" si="3"/>
        <v>169.44</v>
      </c>
      <c r="W35" s="135">
        <f t="shared" si="4"/>
        <v>2344.56</v>
      </c>
      <c r="X35" s="149">
        <v>100</v>
      </c>
      <c r="Y35" s="4">
        <f>150*13</f>
        <v>1950</v>
      </c>
      <c r="Z35" s="136"/>
    </row>
    <row r="36" spans="1:26" s="137" customFormat="1" ht="9" customHeight="1" x14ac:dyDescent="0.3">
      <c r="A36" s="4" t="s">
        <v>14</v>
      </c>
      <c r="B36" s="73" t="s">
        <v>58</v>
      </c>
      <c r="C36" s="73"/>
      <c r="D36" s="73"/>
      <c r="E36" s="148">
        <v>13</v>
      </c>
      <c r="F36" s="149" t="s">
        <v>233</v>
      </c>
      <c r="G36" s="150">
        <v>104</v>
      </c>
      <c r="H36" s="132">
        <f t="shared" si="1"/>
        <v>1560</v>
      </c>
      <c r="I36" s="131">
        <f t="shared" si="2"/>
        <v>104</v>
      </c>
      <c r="J36" s="149"/>
      <c r="K36" s="149"/>
      <c r="L36" s="131">
        <v>550</v>
      </c>
      <c r="M36" s="150"/>
      <c r="N36" s="149"/>
      <c r="O36" s="132">
        <f t="shared" si="6"/>
        <v>2214</v>
      </c>
      <c r="P36" s="150">
        <v>136.44</v>
      </c>
      <c r="Q36" s="150"/>
      <c r="R36" s="162"/>
      <c r="S36" s="162"/>
      <c r="T36" s="150"/>
      <c r="U36" s="149"/>
      <c r="V36" s="132">
        <f t="shared" si="3"/>
        <v>136.44</v>
      </c>
      <c r="W36" s="135">
        <f t="shared" si="4"/>
        <v>2077.56</v>
      </c>
      <c r="X36" s="149">
        <v>100</v>
      </c>
      <c r="Y36" s="139">
        <v>1050</v>
      </c>
      <c r="Z36" s="136"/>
    </row>
    <row r="37" spans="1:26" s="137" customFormat="1" ht="9" customHeight="1" x14ac:dyDescent="0.25">
      <c r="A37" s="4" t="s">
        <v>94</v>
      </c>
      <c r="B37" s="73" t="s">
        <v>58</v>
      </c>
      <c r="C37" s="73" t="s">
        <v>95</v>
      </c>
      <c r="D37" s="73"/>
      <c r="E37" s="130">
        <v>1</v>
      </c>
      <c r="F37" s="166" t="s">
        <v>96</v>
      </c>
      <c r="G37" s="166">
        <v>194.12639999999999</v>
      </c>
      <c r="H37" s="132">
        <f t="shared" si="1"/>
        <v>2911.8959999999997</v>
      </c>
      <c r="I37" s="131">
        <f t="shared" si="2"/>
        <v>194.12639999999999</v>
      </c>
      <c r="J37" s="166"/>
      <c r="K37" s="166"/>
      <c r="L37" s="166">
        <v>500</v>
      </c>
      <c r="M37" s="167"/>
      <c r="N37" s="167"/>
      <c r="O37" s="132">
        <f>SUM(H37:N37)</f>
        <v>3606.0223999999998</v>
      </c>
      <c r="P37" s="131">
        <v>288.25</v>
      </c>
      <c r="Q37" s="166"/>
      <c r="R37" s="168">
        <v>50</v>
      </c>
      <c r="S37" s="168"/>
      <c r="T37" s="166"/>
      <c r="U37" s="166"/>
      <c r="V37" s="132">
        <f t="shared" si="3"/>
        <v>338.25</v>
      </c>
      <c r="W37" s="135">
        <f t="shared" si="4"/>
        <v>3267.7723999999998</v>
      </c>
      <c r="X37" s="166">
        <v>332.39</v>
      </c>
      <c r="Y37" s="131"/>
      <c r="Z37" s="136"/>
    </row>
    <row r="38" spans="1:26" s="137" customFormat="1" ht="9" customHeight="1" x14ac:dyDescent="0.3">
      <c r="A38" s="4" t="s">
        <v>94</v>
      </c>
      <c r="B38" s="73" t="s">
        <v>67</v>
      </c>
      <c r="C38" s="73" t="s">
        <v>97</v>
      </c>
      <c r="D38" s="73"/>
      <c r="E38" s="130">
        <v>2</v>
      </c>
      <c r="F38" s="139" t="s">
        <v>98</v>
      </c>
      <c r="G38" s="139">
        <v>1109.3399999999999</v>
      </c>
      <c r="H38" s="132">
        <f t="shared" si="1"/>
        <v>16640.099999999999</v>
      </c>
      <c r="I38" s="131"/>
      <c r="J38" s="139"/>
      <c r="K38" s="139"/>
      <c r="L38" s="131">
        <v>0</v>
      </c>
      <c r="M38" s="139"/>
      <c r="N38" s="139"/>
      <c r="O38" s="132">
        <f>SUM(H38:N38)</f>
        <v>16640.099999999999</v>
      </c>
      <c r="P38" s="139">
        <v>3176.71</v>
      </c>
      <c r="Q38" s="139"/>
      <c r="R38" s="156"/>
      <c r="S38" s="156"/>
      <c r="T38" s="139"/>
      <c r="U38" s="139"/>
      <c r="V38" s="132">
        <f t="shared" si="3"/>
        <v>3176.71</v>
      </c>
      <c r="W38" s="135">
        <f t="shared" si="4"/>
        <v>13463.39</v>
      </c>
      <c r="X38" s="139"/>
      <c r="Y38" s="139"/>
      <c r="Z38" s="136"/>
    </row>
    <row r="39" spans="1:26" s="137" customFormat="1" ht="9" customHeight="1" x14ac:dyDescent="0.3">
      <c r="A39" s="4" t="s">
        <v>23</v>
      </c>
      <c r="B39" s="73" t="s">
        <v>58</v>
      </c>
      <c r="C39" s="73" t="s">
        <v>99</v>
      </c>
      <c r="D39" s="73"/>
      <c r="E39" s="130">
        <v>1</v>
      </c>
      <c r="F39" s="133" t="s">
        <v>100</v>
      </c>
      <c r="G39" s="169">
        <v>130</v>
      </c>
      <c r="H39" s="132">
        <f t="shared" si="1"/>
        <v>1950</v>
      </c>
      <c r="I39" s="131">
        <f t="shared" si="2"/>
        <v>130</v>
      </c>
      <c r="J39" s="133"/>
      <c r="K39" s="133">
        <v>260</v>
      </c>
      <c r="L39" s="131">
        <v>818</v>
      </c>
      <c r="M39" s="132"/>
      <c r="N39" s="133"/>
      <c r="O39" s="132">
        <f>SUM(H39:N39)</f>
        <v>3158</v>
      </c>
      <c r="P39" s="139">
        <v>239.51</v>
      </c>
      <c r="Q39" s="133"/>
      <c r="R39" s="141"/>
      <c r="S39" s="141"/>
      <c r="T39" s="133"/>
      <c r="U39" s="133"/>
      <c r="V39" s="132">
        <f t="shared" si="3"/>
        <v>239.51</v>
      </c>
      <c r="W39" s="135">
        <f t="shared" si="4"/>
        <v>2918.49</v>
      </c>
      <c r="X39" s="133">
        <v>818</v>
      </c>
      <c r="Y39" s="133"/>
      <c r="Z39" s="136"/>
    </row>
    <row r="40" spans="1:26" s="137" customFormat="1" ht="9" customHeight="1" x14ac:dyDescent="0.3">
      <c r="A40" s="4" t="s">
        <v>23</v>
      </c>
      <c r="B40" s="73" t="s">
        <v>58</v>
      </c>
      <c r="C40" s="73" t="s">
        <v>17</v>
      </c>
      <c r="D40" s="73"/>
      <c r="E40" s="130">
        <v>2</v>
      </c>
      <c r="F40" s="170" t="s">
        <v>101</v>
      </c>
      <c r="G40" s="169">
        <v>140</v>
      </c>
      <c r="H40" s="132">
        <f t="shared" si="1"/>
        <v>2100</v>
      </c>
      <c r="I40" s="131">
        <f t="shared" si="2"/>
        <v>140</v>
      </c>
      <c r="J40" s="133"/>
      <c r="K40" s="133">
        <f>G40</f>
        <v>140</v>
      </c>
      <c r="L40" s="131">
        <v>600</v>
      </c>
      <c r="M40" s="132"/>
      <c r="N40" s="133"/>
      <c r="O40" s="132">
        <f>SUM(H40:N40)</f>
        <v>2980</v>
      </c>
      <c r="P40" s="139">
        <v>220.14</v>
      </c>
      <c r="Q40" s="133"/>
      <c r="R40" s="141"/>
      <c r="S40" s="141"/>
      <c r="T40" s="133"/>
      <c r="U40" s="133"/>
      <c r="V40" s="132">
        <f t="shared" si="3"/>
        <v>220.14</v>
      </c>
      <c r="W40" s="135">
        <f t="shared" si="4"/>
        <v>2759.86</v>
      </c>
      <c r="X40" s="133"/>
      <c r="Y40" s="133"/>
      <c r="Z40" s="136"/>
    </row>
    <row r="41" spans="1:26" s="137" customFormat="1" ht="9" customHeight="1" x14ac:dyDescent="0.25">
      <c r="A41" s="4" t="s">
        <v>23</v>
      </c>
      <c r="B41" s="73" t="s">
        <v>58</v>
      </c>
      <c r="C41" s="73" t="s">
        <v>102</v>
      </c>
      <c r="D41" s="73"/>
      <c r="E41" s="130">
        <v>3</v>
      </c>
      <c r="F41" s="165" t="s">
        <v>103</v>
      </c>
      <c r="G41" s="158">
        <v>547.05999999999995</v>
      </c>
      <c r="H41" s="132">
        <f t="shared" si="1"/>
        <v>8205.9</v>
      </c>
      <c r="I41" s="131">
        <f t="shared" si="2"/>
        <v>547.05999999999995</v>
      </c>
      <c r="J41" s="133"/>
      <c r="K41" s="133"/>
      <c r="L41" s="131">
        <v>0</v>
      </c>
      <c r="M41" s="132"/>
      <c r="N41" s="133">
        <v>0</v>
      </c>
      <c r="O41" s="132">
        <f>SUM(H41:N41)</f>
        <v>8752.9599999999991</v>
      </c>
      <c r="P41" s="139">
        <v>1322.44</v>
      </c>
      <c r="Q41" s="133"/>
      <c r="R41" s="141"/>
      <c r="S41" s="141"/>
      <c r="T41" s="133"/>
      <c r="U41" s="133"/>
      <c r="V41" s="132">
        <f t="shared" si="3"/>
        <v>1322.44</v>
      </c>
      <c r="W41" s="135">
        <f t="shared" si="4"/>
        <v>7430.5199999999986</v>
      </c>
      <c r="X41" s="133"/>
      <c r="Y41" s="133"/>
      <c r="Z41" s="136"/>
    </row>
    <row r="42" spans="1:26" s="137" customFormat="1" ht="9" customHeight="1" x14ac:dyDescent="0.3">
      <c r="A42" s="4" t="s">
        <v>24</v>
      </c>
      <c r="B42" s="73" t="s">
        <v>58</v>
      </c>
      <c r="C42" s="73" t="s">
        <v>25</v>
      </c>
      <c r="D42" s="73"/>
      <c r="E42" s="130">
        <v>1</v>
      </c>
      <c r="F42" s="132" t="s">
        <v>104</v>
      </c>
      <c r="G42" s="132">
        <v>104</v>
      </c>
      <c r="H42" s="132">
        <f t="shared" si="1"/>
        <v>1560</v>
      </c>
      <c r="I42" s="131">
        <f t="shared" si="2"/>
        <v>104</v>
      </c>
      <c r="J42" s="133"/>
      <c r="K42" s="132"/>
      <c r="L42" s="131">
        <v>100</v>
      </c>
      <c r="M42" s="132"/>
      <c r="N42" s="132">
        <v>0</v>
      </c>
      <c r="O42" s="132">
        <f t="shared" ref="O42:O55" si="7">SUM(H42:N42)</f>
        <v>1764</v>
      </c>
      <c r="P42" s="131">
        <v>1101.8800000000001</v>
      </c>
      <c r="Q42" s="171"/>
      <c r="R42" s="153"/>
      <c r="S42" s="153"/>
      <c r="T42" s="132">
        <v>0</v>
      </c>
      <c r="U42" s="132"/>
      <c r="V42" s="132">
        <f t="shared" si="3"/>
        <v>1101.8800000000001</v>
      </c>
      <c r="W42" s="135">
        <f t="shared" si="4"/>
        <v>662.11999999999989</v>
      </c>
      <c r="X42" s="132">
        <v>100</v>
      </c>
      <c r="Y42" s="132"/>
      <c r="Z42" s="136"/>
    </row>
    <row r="43" spans="1:26" s="137" customFormat="1" ht="9" customHeight="1" x14ac:dyDescent="0.3">
      <c r="A43" s="4" t="s">
        <v>24</v>
      </c>
      <c r="B43" s="73" t="s">
        <v>58</v>
      </c>
      <c r="C43" s="73" t="s">
        <v>45</v>
      </c>
      <c r="D43" s="73"/>
      <c r="E43" s="130">
        <v>2</v>
      </c>
      <c r="F43" s="131" t="s">
        <v>105</v>
      </c>
      <c r="G43" s="131">
        <v>207.5</v>
      </c>
      <c r="H43" s="132">
        <f t="shared" si="1"/>
        <v>3112.5</v>
      </c>
      <c r="I43" s="131">
        <f t="shared" si="2"/>
        <v>207.5</v>
      </c>
      <c r="J43" s="133"/>
      <c r="K43" s="131">
        <f>G43</f>
        <v>207.5</v>
      </c>
      <c r="L43" s="131">
        <v>2100</v>
      </c>
      <c r="M43" s="132"/>
      <c r="N43" s="132"/>
      <c r="O43" s="132">
        <f t="shared" si="7"/>
        <v>5627.5</v>
      </c>
      <c r="P43" s="131">
        <v>654.84</v>
      </c>
      <c r="Q43" s="171"/>
      <c r="R43" s="134"/>
      <c r="S43" s="134"/>
      <c r="T43" s="131">
        <v>0</v>
      </c>
      <c r="U43" s="172"/>
      <c r="V43" s="132">
        <f t="shared" si="3"/>
        <v>654.84</v>
      </c>
      <c r="W43" s="135">
        <f t="shared" si="4"/>
        <v>4972.66</v>
      </c>
      <c r="X43" s="131">
        <v>600</v>
      </c>
      <c r="Y43" s="131">
        <v>500</v>
      </c>
      <c r="Z43" s="136"/>
    </row>
    <row r="44" spans="1:26" s="137" customFormat="1" ht="9" customHeight="1" x14ac:dyDescent="0.3">
      <c r="A44" s="4" t="s">
        <v>24</v>
      </c>
      <c r="B44" s="73" t="s">
        <v>58</v>
      </c>
      <c r="C44" s="73" t="s">
        <v>25</v>
      </c>
      <c r="D44" s="73"/>
      <c r="E44" s="130">
        <v>3</v>
      </c>
      <c r="F44" s="131" t="s">
        <v>106</v>
      </c>
      <c r="G44" s="131">
        <v>100.017</v>
      </c>
      <c r="H44" s="132">
        <f t="shared" si="1"/>
        <v>1500.2549999999999</v>
      </c>
      <c r="I44" s="131">
        <f t="shared" si="2"/>
        <v>100.017</v>
      </c>
      <c r="J44" s="133"/>
      <c r="K44" s="131"/>
      <c r="L44" s="131">
        <v>100</v>
      </c>
      <c r="M44" s="132"/>
      <c r="N44" s="132"/>
      <c r="O44" s="132">
        <f t="shared" si="7"/>
        <v>1700.2719999999999</v>
      </c>
      <c r="P44" s="131">
        <v>97.8</v>
      </c>
      <c r="Q44" s="132"/>
      <c r="R44" s="134"/>
      <c r="S44" s="134"/>
      <c r="T44" s="131"/>
      <c r="U44" s="131"/>
      <c r="V44" s="132">
        <f t="shared" si="3"/>
        <v>97.8</v>
      </c>
      <c r="W44" s="135">
        <f t="shared" si="4"/>
        <v>1602.472</v>
      </c>
      <c r="X44" s="131">
        <v>100</v>
      </c>
      <c r="Y44" s="131"/>
      <c r="Z44" s="136"/>
    </row>
    <row r="45" spans="1:26" s="137" customFormat="1" ht="9" customHeight="1" x14ac:dyDescent="0.3">
      <c r="A45" s="4" t="s">
        <v>24</v>
      </c>
      <c r="B45" s="73" t="s">
        <v>58</v>
      </c>
      <c r="C45" s="73" t="s">
        <v>25</v>
      </c>
      <c r="D45" s="73"/>
      <c r="E45" s="130">
        <v>4</v>
      </c>
      <c r="F45" s="133" t="s">
        <v>107</v>
      </c>
      <c r="G45" s="133">
        <v>138.68</v>
      </c>
      <c r="H45" s="132">
        <f t="shared" si="1"/>
        <v>2080.2000000000003</v>
      </c>
      <c r="I45" s="131">
        <f t="shared" si="2"/>
        <v>138.68</v>
      </c>
      <c r="J45" s="133"/>
      <c r="K45" s="131"/>
      <c r="L45" s="131">
        <v>140</v>
      </c>
      <c r="M45" s="132"/>
      <c r="N45" s="132">
        <v>0</v>
      </c>
      <c r="O45" s="132">
        <f t="shared" si="7"/>
        <v>2358.88</v>
      </c>
      <c r="P45" s="131">
        <v>152.56</v>
      </c>
      <c r="Q45" s="133"/>
      <c r="R45" s="141"/>
      <c r="S45" s="141"/>
      <c r="T45" s="133"/>
      <c r="U45" s="133"/>
      <c r="V45" s="132">
        <f t="shared" si="3"/>
        <v>152.56</v>
      </c>
      <c r="W45" s="135">
        <f t="shared" si="4"/>
        <v>2206.3200000000002</v>
      </c>
      <c r="X45" s="133">
        <v>140</v>
      </c>
      <c r="Y45" s="133"/>
      <c r="Z45" s="136"/>
    </row>
    <row r="46" spans="1:26" s="137" customFormat="1" ht="9" customHeight="1" x14ac:dyDescent="0.25">
      <c r="A46" s="4" t="s">
        <v>24</v>
      </c>
      <c r="B46" s="73" t="s">
        <v>58</v>
      </c>
      <c r="C46" s="73" t="s">
        <v>25</v>
      </c>
      <c r="D46" s="73"/>
      <c r="E46" s="130">
        <v>5</v>
      </c>
      <c r="F46" s="133" t="s">
        <v>108</v>
      </c>
      <c r="G46" s="133">
        <v>138.68</v>
      </c>
      <c r="H46" s="132">
        <f t="shared" si="1"/>
        <v>2080.2000000000003</v>
      </c>
      <c r="I46" s="131">
        <f t="shared" si="2"/>
        <v>138.68</v>
      </c>
      <c r="J46" s="133"/>
      <c r="K46" s="131"/>
      <c r="L46" s="131">
        <v>140</v>
      </c>
      <c r="M46" s="132"/>
      <c r="N46" s="132">
        <v>0</v>
      </c>
      <c r="O46" s="132">
        <f t="shared" si="7"/>
        <v>2358.88</v>
      </c>
      <c r="P46" s="131">
        <v>152.56</v>
      </c>
      <c r="Q46" s="133"/>
      <c r="R46" s="141"/>
      <c r="S46" s="141"/>
      <c r="T46" s="133"/>
      <c r="U46" s="133"/>
      <c r="V46" s="132">
        <f t="shared" si="3"/>
        <v>152.56</v>
      </c>
      <c r="W46" s="135">
        <f t="shared" si="4"/>
        <v>2206.3200000000002</v>
      </c>
      <c r="X46" s="133">
        <v>140</v>
      </c>
      <c r="Y46" s="133"/>
      <c r="Z46" s="136"/>
    </row>
    <row r="47" spans="1:26" s="137" customFormat="1" ht="9" customHeight="1" x14ac:dyDescent="0.3">
      <c r="A47" s="4" t="s">
        <v>24</v>
      </c>
      <c r="B47" s="73" t="s">
        <v>58</v>
      </c>
      <c r="C47" s="73" t="s">
        <v>45</v>
      </c>
      <c r="D47" s="73"/>
      <c r="E47" s="130">
        <v>6</v>
      </c>
      <c r="F47" s="131" t="s">
        <v>109</v>
      </c>
      <c r="G47" s="131">
        <v>255</v>
      </c>
      <c r="H47" s="132">
        <f t="shared" si="1"/>
        <v>3825</v>
      </c>
      <c r="I47" s="131">
        <f t="shared" si="2"/>
        <v>255</v>
      </c>
      <c r="J47" s="133"/>
      <c r="K47" s="131">
        <f>G47</f>
        <v>255</v>
      </c>
      <c r="L47" s="131">
        <v>2100</v>
      </c>
      <c r="M47" s="132"/>
      <c r="N47" s="132"/>
      <c r="O47" s="132">
        <f t="shared" si="7"/>
        <v>6435</v>
      </c>
      <c r="P47" s="131">
        <v>827.33</v>
      </c>
      <c r="Q47" s="131"/>
      <c r="R47" s="134"/>
      <c r="S47" s="134"/>
      <c r="T47" s="131"/>
      <c r="U47" s="131"/>
      <c r="V47" s="132">
        <f t="shared" si="3"/>
        <v>827.33</v>
      </c>
      <c r="W47" s="135">
        <f t="shared" si="4"/>
        <v>5607.67</v>
      </c>
      <c r="X47" s="131">
        <v>600</v>
      </c>
      <c r="Y47" s="131">
        <v>500</v>
      </c>
      <c r="Z47" s="136"/>
    </row>
    <row r="48" spans="1:26" s="137" customFormat="1" ht="9" customHeight="1" x14ac:dyDescent="0.25">
      <c r="A48" s="4" t="s">
        <v>24</v>
      </c>
      <c r="B48" s="73" t="s">
        <v>58</v>
      </c>
      <c r="C48" s="73" t="s">
        <v>110</v>
      </c>
      <c r="D48" s="73"/>
      <c r="E48" s="130">
        <v>7</v>
      </c>
      <c r="F48" s="133" t="s">
        <v>111</v>
      </c>
      <c r="G48" s="133">
        <v>179.92000000000002</v>
      </c>
      <c r="H48" s="132">
        <f t="shared" si="1"/>
        <v>2698.8</v>
      </c>
      <c r="I48" s="131">
        <f t="shared" si="2"/>
        <v>179.92000000000002</v>
      </c>
      <c r="J48" s="133">
        <f>G48</f>
        <v>179.92000000000002</v>
      </c>
      <c r="K48" s="131">
        <f>G48/8*10</f>
        <v>224.90000000000003</v>
      </c>
      <c r="L48" s="131">
        <v>145</v>
      </c>
      <c r="M48" s="132"/>
      <c r="N48" s="132">
        <v>0</v>
      </c>
      <c r="O48" s="132">
        <f t="shared" si="7"/>
        <v>3428.5400000000004</v>
      </c>
      <c r="P48" s="131">
        <v>268.94</v>
      </c>
      <c r="Q48" s="133"/>
      <c r="R48" s="141">
        <v>48.76</v>
      </c>
      <c r="S48" s="141"/>
      <c r="T48" s="133"/>
      <c r="U48" s="133"/>
      <c r="V48" s="132">
        <f t="shared" si="3"/>
        <v>317.7</v>
      </c>
      <c r="W48" s="135">
        <f t="shared" si="4"/>
        <v>3110.8400000000006</v>
      </c>
      <c r="X48" s="133">
        <v>145</v>
      </c>
      <c r="Y48" s="133"/>
      <c r="Z48" s="136"/>
    </row>
    <row r="49" spans="1:26" s="137" customFormat="1" ht="9" customHeight="1" x14ac:dyDescent="0.3">
      <c r="A49" s="4" t="s">
        <v>24</v>
      </c>
      <c r="B49" s="73" t="s">
        <v>58</v>
      </c>
      <c r="C49" s="73" t="s">
        <v>112</v>
      </c>
      <c r="D49" s="73"/>
      <c r="E49" s="130">
        <v>8</v>
      </c>
      <c r="F49" s="133" t="s">
        <v>113</v>
      </c>
      <c r="G49" s="132">
        <v>173.34</v>
      </c>
      <c r="H49" s="132">
        <f t="shared" si="1"/>
        <v>2600.1</v>
      </c>
      <c r="I49" s="131">
        <f t="shared" si="2"/>
        <v>173.34</v>
      </c>
      <c r="J49" s="133"/>
      <c r="K49" s="131"/>
      <c r="L49" s="131">
        <v>1700</v>
      </c>
      <c r="M49" s="132"/>
      <c r="N49" s="132">
        <v>0</v>
      </c>
      <c r="O49" s="132">
        <f t="shared" si="7"/>
        <v>4473.4400000000005</v>
      </c>
      <c r="P49" s="131">
        <v>429.15</v>
      </c>
      <c r="Q49" s="133"/>
      <c r="R49" s="141"/>
      <c r="S49" s="141"/>
      <c r="T49" s="133"/>
      <c r="U49" s="133"/>
      <c r="V49" s="132">
        <f t="shared" si="3"/>
        <v>429.15</v>
      </c>
      <c r="W49" s="135">
        <f t="shared" si="4"/>
        <v>4044.2900000000004</v>
      </c>
      <c r="X49" s="133">
        <v>1700</v>
      </c>
      <c r="Y49" s="133"/>
      <c r="Z49" s="136"/>
    </row>
    <row r="50" spans="1:26" s="137" customFormat="1" ht="9" customHeight="1" x14ac:dyDescent="0.3">
      <c r="A50" s="4" t="s">
        <v>24</v>
      </c>
      <c r="B50" s="73" t="s">
        <v>58</v>
      </c>
      <c r="C50" s="73" t="s">
        <v>50</v>
      </c>
      <c r="D50" s="73"/>
      <c r="E50" s="130">
        <v>9</v>
      </c>
      <c r="F50" s="133" t="s">
        <v>114</v>
      </c>
      <c r="G50" s="133">
        <v>124.80000000000001</v>
      </c>
      <c r="H50" s="132">
        <f t="shared" si="1"/>
        <v>1872.0000000000002</v>
      </c>
      <c r="I50" s="131">
        <f t="shared" si="2"/>
        <v>124.80000000000001</v>
      </c>
      <c r="J50" s="133"/>
      <c r="K50" s="149"/>
      <c r="L50" s="139">
        <v>120</v>
      </c>
      <c r="M50" s="133"/>
      <c r="N50" s="133"/>
      <c r="O50" s="132">
        <f t="shared" si="7"/>
        <v>2116.8000000000002</v>
      </c>
      <c r="P50" s="139">
        <v>126.22</v>
      </c>
      <c r="Q50" s="133"/>
      <c r="R50" s="141"/>
      <c r="S50" s="141"/>
      <c r="T50" s="133"/>
      <c r="U50" s="133"/>
      <c r="V50" s="132">
        <f t="shared" si="3"/>
        <v>126.22</v>
      </c>
      <c r="W50" s="135">
        <f t="shared" si="4"/>
        <v>1990.5800000000002</v>
      </c>
      <c r="X50" s="133">
        <v>120</v>
      </c>
      <c r="Y50" s="133"/>
      <c r="Z50" s="136"/>
    </row>
    <row r="51" spans="1:26" s="137" customFormat="1" ht="9" customHeight="1" x14ac:dyDescent="0.3">
      <c r="A51" s="4" t="s">
        <v>24</v>
      </c>
      <c r="B51" s="73" t="s">
        <v>58</v>
      </c>
      <c r="C51" s="73" t="s">
        <v>115</v>
      </c>
      <c r="D51" s="73"/>
      <c r="E51" s="130">
        <v>10</v>
      </c>
      <c r="F51" s="133" t="s">
        <v>116</v>
      </c>
      <c r="G51" s="133">
        <v>200</v>
      </c>
      <c r="H51" s="132">
        <f t="shared" si="1"/>
        <v>3000</v>
      </c>
      <c r="I51" s="131">
        <f t="shared" si="2"/>
        <v>200</v>
      </c>
      <c r="J51" s="133"/>
      <c r="K51" s="149"/>
      <c r="L51" s="139">
        <v>1700</v>
      </c>
      <c r="M51" s="133"/>
      <c r="N51" s="133">
        <v>0</v>
      </c>
      <c r="O51" s="132">
        <f t="shared" si="7"/>
        <v>4900</v>
      </c>
      <c r="P51" s="139">
        <v>505.59</v>
      </c>
      <c r="Q51" s="139"/>
      <c r="R51" s="139"/>
      <c r="S51" s="139">
        <v>1656.84</v>
      </c>
      <c r="T51" s="139"/>
      <c r="U51" s="133"/>
      <c r="V51" s="132">
        <f t="shared" si="3"/>
        <v>2162.4299999999998</v>
      </c>
      <c r="W51" s="135">
        <f t="shared" si="4"/>
        <v>2737.57</v>
      </c>
      <c r="X51" s="133">
        <v>1700</v>
      </c>
      <c r="Y51" s="133"/>
      <c r="Z51" s="136"/>
    </row>
    <row r="52" spans="1:26" s="137" customFormat="1" ht="9" customHeight="1" x14ac:dyDescent="0.3">
      <c r="A52" s="4" t="s">
        <v>24</v>
      </c>
      <c r="B52" s="73" t="s">
        <v>58</v>
      </c>
      <c r="C52" s="73" t="s">
        <v>25</v>
      </c>
      <c r="D52" s="73"/>
      <c r="E52" s="130">
        <v>11</v>
      </c>
      <c r="F52" s="163" t="s">
        <v>117</v>
      </c>
      <c r="G52" s="141">
        <v>113.34</v>
      </c>
      <c r="H52" s="132">
        <f t="shared" si="1"/>
        <v>1700.1000000000001</v>
      </c>
      <c r="I52" s="131">
        <f t="shared" si="2"/>
        <v>113.34</v>
      </c>
      <c r="J52" s="133"/>
      <c r="K52" s="149"/>
      <c r="L52" s="139">
        <v>893.38000000000011</v>
      </c>
      <c r="M52" s="133"/>
      <c r="N52" s="133"/>
      <c r="O52" s="132">
        <f t="shared" si="7"/>
        <v>2706.82</v>
      </c>
      <c r="P52" s="139">
        <v>190.42</v>
      </c>
      <c r="Q52" s="133"/>
      <c r="R52" s="141"/>
      <c r="S52" s="141"/>
      <c r="T52" s="133"/>
      <c r="U52" s="133"/>
      <c r="V52" s="132">
        <f t="shared" si="3"/>
        <v>190.42</v>
      </c>
      <c r="W52" s="135">
        <f t="shared" si="4"/>
        <v>2516.4</v>
      </c>
      <c r="X52" s="133">
        <v>893.38000000000011</v>
      </c>
      <c r="Y52" s="133"/>
      <c r="Z52" s="136"/>
    </row>
    <row r="53" spans="1:26" s="137" customFormat="1" ht="9" customHeight="1" x14ac:dyDescent="0.3">
      <c r="A53" s="4" t="s">
        <v>24</v>
      </c>
      <c r="B53" s="73" t="s">
        <v>58</v>
      </c>
      <c r="C53" s="73" t="s">
        <v>25</v>
      </c>
      <c r="D53" s="73"/>
      <c r="E53" s="148">
        <v>12</v>
      </c>
      <c r="F53" s="173" t="s">
        <v>234</v>
      </c>
      <c r="G53" s="149">
        <v>113.34</v>
      </c>
      <c r="H53" s="132">
        <f t="shared" si="1"/>
        <v>1700.1000000000001</v>
      </c>
      <c r="I53" s="131">
        <f t="shared" si="2"/>
        <v>113.34</v>
      </c>
      <c r="J53" s="149"/>
      <c r="K53" s="149"/>
      <c r="L53" s="139">
        <v>893.38000000000011</v>
      </c>
      <c r="M53" s="149"/>
      <c r="N53" s="149"/>
      <c r="O53" s="132">
        <f t="shared" si="7"/>
        <v>2706.82</v>
      </c>
      <c r="P53" s="149">
        <v>190.42</v>
      </c>
      <c r="Q53" s="149"/>
      <c r="R53" s="151"/>
      <c r="S53" s="151"/>
      <c r="T53" s="149"/>
      <c r="U53" s="149"/>
      <c r="V53" s="132">
        <f t="shared" si="3"/>
        <v>190.42</v>
      </c>
      <c r="W53" s="135">
        <f t="shared" si="4"/>
        <v>2516.4</v>
      </c>
      <c r="X53" s="133">
        <v>893.38000000000011</v>
      </c>
      <c r="Y53" s="133"/>
      <c r="Z53" s="136"/>
    </row>
    <row r="54" spans="1:26" s="137" customFormat="1" ht="9" customHeight="1" x14ac:dyDescent="0.3">
      <c r="A54" s="4" t="s">
        <v>24</v>
      </c>
      <c r="B54" s="73" t="s">
        <v>58</v>
      </c>
      <c r="C54" s="73" t="s">
        <v>25</v>
      </c>
      <c r="D54" s="73"/>
      <c r="E54" s="148">
        <v>12</v>
      </c>
      <c r="F54" s="173" t="s">
        <v>242</v>
      </c>
      <c r="G54" s="149">
        <v>138.68</v>
      </c>
      <c r="H54" s="132">
        <f t="shared" ref="H54" si="8">G54*15</f>
        <v>2080.2000000000003</v>
      </c>
      <c r="I54" s="131">
        <f t="shared" ref="I54" si="9">G54</f>
        <v>138.68</v>
      </c>
      <c r="J54" s="149"/>
      <c r="K54" s="149"/>
      <c r="L54" s="139">
        <v>0</v>
      </c>
      <c r="M54" s="149"/>
      <c r="N54" s="149"/>
      <c r="O54" s="132">
        <f t="shared" ref="O54" si="10">SUM(H54:N54)</f>
        <v>2218.88</v>
      </c>
      <c r="P54" s="149">
        <v>137.33000000000001</v>
      </c>
      <c r="Q54" s="149"/>
      <c r="R54" s="151"/>
      <c r="S54" s="151"/>
      <c r="T54" s="149"/>
      <c r="U54" s="149"/>
      <c r="V54" s="132">
        <f t="shared" ref="V54" si="11">SUM(P54:U54)</f>
        <v>137.33000000000001</v>
      </c>
      <c r="W54" s="135">
        <f t="shared" ref="W54" si="12">O54-V54</f>
        <v>2081.5500000000002</v>
      </c>
      <c r="X54" s="133">
        <v>0</v>
      </c>
      <c r="Y54" s="133"/>
      <c r="Z54" s="136"/>
    </row>
    <row r="55" spans="1:26" s="137" customFormat="1" ht="9" customHeight="1" x14ac:dyDescent="0.3">
      <c r="A55" s="4" t="s">
        <v>24</v>
      </c>
      <c r="B55" s="73" t="s">
        <v>58</v>
      </c>
      <c r="C55" s="73" t="s">
        <v>25</v>
      </c>
      <c r="D55" s="73"/>
      <c r="E55" s="148">
        <v>12</v>
      </c>
      <c r="F55" s="173" t="s">
        <v>293</v>
      </c>
      <c r="G55" s="149"/>
      <c r="H55" s="132">
        <f t="shared" si="1"/>
        <v>0</v>
      </c>
      <c r="I55" s="131">
        <f t="shared" si="2"/>
        <v>0</v>
      </c>
      <c r="J55" s="149"/>
      <c r="K55" s="149"/>
      <c r="L55" s="139">
        <v>0</v>
      </c>
      <c r="M55" s="149"/>
      <c r="N55" s="149"/>
      <c r="O55" s="132">
        <f t="shared" si="7"/>
        <v>0</v>
      </c>
      <c r="P55" s="149"/>
      <c r="Q55" s="149"/>
      <c r="R55" s="151"/>
      <c r="S55" s="151"/>
      <c r="T55" s="149"/>
      <c r="U55" s="149"/>
      <c r="V55" s="132">
        <f t="shared" si="3"/>
        <v>0</v>
      </c>
      <c r="W55" s="135">
        <f t="shared" si="4"/>
        <v>0</v>
      </c>
      <c r="X55" s="133">
        <v>0</v>
      </c>
      <c r="Y55" s="133"/>
      <c r="Z55" s="136"/>
    </row>
    <row r="56" spans="1:26" ht="14.45" x14ac:dyDescent="0.3">
      <c r="A56" s="4" t="s">
        <v>119</v>
      </c>
      <c r="B56" s="4" t="s">
        <v>58</v>
      </c>
      <c r="C56" s="4" t="s">
        <v>30</v>
      </c>
      <c r="D56" s="4"/>
      <c r="E56" s="175">
        <v>1</v>
      </c>
      <c r="F56" s="133" t="s">
        <v>120</v>
      </c>
      <c r="G56" s="133">
        <v>100.02</v>
      </c>
      <c r="H56" s="133">
        <f>G56*15</f>
        <v>1500.3</v>
      </c>
      <c r="I56" s="133">
        <f>G56</f>
        <v>100.02</v>
      </c>
      <c r="J56" s="133"/>
      <c r="K56" s="133"/>
      <c r="L56" s="139">
        <f t="shared" ref="L56:L65" si="13">X56+Y56</f>
        <v>100</v>
      </c>
      <c r="M56" s="133"/>
      <c r="N56" s="133"/>
      <c r="O56" s="133">
        <f t="shared" ref="O56:O67" si="14">SUM(H56:N56)</f>
        <v>1700.32</v>
      </c>
      <c r="P56" s="133">
        <v>97.8</v>
      </c>
      <c r="Q56" s="133"/>
      <c r="R56" s="141">
        <v>36.06</v>
      </c>
      <c r="S56" s="141"/>
      <c r="T56" s="133"/>
      <c r="U56" s="133"/>
      <c r="V56" s="133">
        <f>SUM(P56:U56)</f>
        <v>133.86000000000001</v>
      </c>
      <c r="W56" s="176">
        <f t="shared" ref="W56:W67" si="15">O56-V56</f>
        <v>1566.46</v>
      </c>
      <c r="X56" s="177">
        <v>100</v>
      </c>
      <c r="Y56" s="133">
        <v>0</v>
      </c>
    </row>
    <row r="57" spans="1:26" ht="14.45" x14ac:dyDescent="0.3">
      <c r="A57" s="4" t="s">
        <v>119</v>
      </c>
      <c r="B57" s="73" t="s">
        <v>58</v>
      </c>
      <c r="C57" s="73" t="s">
        <v>17</v>
      </c>
      <c r="D57" s="73"/>
      <c r="E57" s="175">
        <v>2</v>
      </c>
      <c r="F57" s="133" t="s">
        <v>121</v>
      </c>
      <c r="G57" s="133">
        <v>100.02</v>
      </c>
      <c r="H57" s="133">
        <f t="shared" ref="H57:H67" si="16">G57*15</f>
        <v>1500.3</v>
      </c>
      <c r="I57" s="133">
        <f t="shared" ref="I57:I67" si="17">G57</f>
        <v>100.02</v>
      </c>
      <c r="J57" s="133">
        <f t="shared" ref="J57:J61" si="18">G57*2</f>
        <v>200.04</v>
      </c>
      <c r="K57" s="140"/>
      <c r="L57" s="139">
        <f t="shared" si="13"/>
        <v>100</v>
      </c>
      <c r="M57" s="133"/>
      <c r="N57" s="133"/>
      <c r="O57" s="133">
        <f t="shared" si="14"/>
        <v>1900.36</v>
      </c>
      <c r="P57" s="133">
        <v>110.61</v>
      </c>
      <c r="Q57" s="133">
        <v>0</v>
      </c>
      <c r="R57" s="141"/>
      <c r="S57" s="141"/>
      <c r="T57" s="133"/>
      <c r="U57" s="133"/>
      <c r="V57" s="133">
        <f t="shared" ref="V57:V67" si="19">SUM(P57:U57)</f>
        <v>110.61</v>
      </c>
      <c r="W57" s="176">
        <f t="shared" si="15"/>
        <v>1789.75</v>
      </c>
      <c r="X57" s="133">
        <v>100</v>
      </c>
      <c r="Y57" s="133">
        <v>0</v>
      </c>
    </row>
    <row r="58" spans="1:26" ht="14.45" x14ac:dyDescent="0.3">
      <c r="A58" s="4" t="s">
        <v>119</v>
      </c>
      <c r="B58" s="73" t="s">
        <v>58</v>
      </c>
      <c r="C58" s="73" t="s">
        <v>25</v>
      </c>
      <c r="D58" s="73"/>
      <c r="E58" s="175">
        <v>3</v>
      </c>
      <c r="F58" s="132" t="s">
        <v>122</v>
      </c>
      <c r="G58" s="132">
        <v>100.02</v>
      </c>
      <c r="H58" s="133">
        <f t="shared" si="16"/>
        <v>1500.3</v>
      </c>
      <c r="I58" s="133">
        <f t="shared" si="17"/>
        <v>100.02</v>
      </c>
      <c r="J58" s="133">
        <f t="shared" si="18"/>
        <v>200.04</v>
      </c>
      <c r="K58" s="140"/>
      <c r="L58" s="139">
        <f t="shared" si="13"/>
        <v>100</v>
      </c>
      <c r="M58" s="132"/>
      <c r="N58" s="133"/>
      <c r="O58" s="133">
        <f t="shared" si="14"/>
        <v>1900.36</v>
      </c>
      <c r="P58" s="133">
        <v>110.61</v>
      </c>
      <c r="Q58" s="133"/>
      <c r="R58" s="141">
        <v>36.06</v>
      </c>
      <c r="S58" s="141"/>
      <c r="T58" s="133"/>
      <c r="U58" s="133"/>
      <c r="V58" s="133">
        <f t="shared" si="19"/>
        <v>146.67000000000002</v>
      </c>
      <c r="W58" s="176">
        <f t="shared" si="15"/>
        <v>1753.6899999999998</v>
      </c>
      <c r="X58" s="132">
        <v>100</v>
      </c>
      <c r="Y58" s="132">
        <v>0</v>
      </c>
    </row>
    <row r="59" spans="1:26" ht="14.45" x14ac:dyDescent="0.3">
      <c r="A59" s="4" t="s">
        <v>119</v>
      </c>
      <c r="B59" s="73" t="s">
        <v>58</v>
      </c>
      <c r="C59" s="73" t="s">
        <v>25</v>
      </c>
      <c r="D59" s="73"/>
      <c r="E59" s="175">
        <v>4</v>
      </c>
      <c r="F59" s="132" t="s">
        <v>123</v>
      </c>
      <c r="G59" s="132">
        <v>100.02</v>
      </c>
      <c r="H59" s="133">
        <f t="shared" si="16"/>
        <v>1500.3</v>
      </c>
      <c r="I59" s="133">
        <f t="shared" si="17"/>
        <v>100.02</v>
      </c>
      <c r="J59" s="133">
        <f t="shared" si="18"/>
        <v>200.04</v>
      </c>
      <c r="K59" s="140"/>
      <c r="L59" s="139">
        <f t="shared" si="13"/>
        <v>100</v>
      </c>
      <c r="M59" s="132"/>
      <c r="N59" s="133"/>
      <c r="O59" s="133">
        <f t="shared" si="14"/>
        <v>1900.36</v>
      </c>
      <c r="P59" s="133">
        <v>110.61</v>
      </c>
      <c r="Q59" s="133"/>
      <c r="R59" s="141">
        <v>36.06</v>
      </c>
      <c r="S59" s="141"/>
      <c r="T59" s="133"/>
      <c r="U59" s="133"/>
      <c r="V59" s="133">
        <f t="shared" si="19"/>
        <v>146.67000000000002</v>
      </c>
      <c r="W59" s="176">
        <f t="shared" si="15"/>
        <v>1753.6899999999998</v>
      </c>
      <c r="X59" s="132">
        <v>100</v>
      </c>
      <c r="Y59" s="132">
        <v>0</v>
      </c>
    </row>
    <row r="60" spans="1:26" ht="14.45" x14ac:dyDescent="0.3">
      <c r="A60" s="4" t="s">
        <v>119</v>
      </c>
      <c r="B60" s="73" t="s">
        <v>58</v>
      </c>
      <c r="C60" s="73" t="s">
        <v>25</v>
      </c>
      <c r="D60" s="73"/>
      <c r="E60" s="175">
        <v>5</v>
      </c>
      <c r="F60" s="131" t="s">
        <v>125</v>
      </c>
      <c r="G60" s="131">
        <v>569.58000000000004</v>
      </c>
      <c r="H60" s="133">
        <f t="shared" si="16"/>
        <v>8543.7000000000007</v>
      </c>
      <c r="I60" s="133">
        <f t="shared" si="17"/>
        <v>569.58000000000004</v>
      </c>
      <c r="J60" s="133">
        <f t="shared" si="18"/>
        <v>1139.1600000000001</v>
      </c>
      <c r="K60" s="140"/>
      <c r="L60" s="139">
        <f t="shared" si="13"/>
        <v>1000</v>
      </c>
      <c r="M60" s="131"/>
      <c r="N60" s="133"/>
      <c r="O60" s="133">
        <f t="shared" si="14"/>
        <v>11252.44</v>
      </c>
      <c r="P60" s="139">
        <v>1877.89</v>
      </c>
      <c r="Q60" s="139"/>
      <c r="R60" s="156"/>
      <c r="S60" s="156"/>
      <c r="T60" s="139"/>
      <c r="U60" s="139"/>
      <c r="V60" s="133">
        <f t="shared" si="19"/>
        <v>1877.89</v>
      </c>
      <c r="W60" s="176">
        <f t="shared" si="15"/>
        <v>9374.5500000000011</v>
      </c>
      <c r="X60" s="132">
        <v>1000</v>
      </c>
      <c r="Y60" s="131">
        <v>0</v>
      </c>
    </row>
    <row r="61" spans="1:26" ht="14.45" x14ac:dyDescent="0.3">
      <c r="A61" s="4" t="s">
        <v>119</v>
      </c>
      <c r="B61" s="73" t="s">
        <v>67</v>
      </c>
      <c r="C61" s="73" t="s">
        <v>124</v>
      </c>
      <c r="D61" s="73"/>
      <c r="E61" s="175">
        <v>6</v>
      </c>
      <c r="F61" s="131" t="s">
        <v>126</v>
      </c>
      <c r="G61" s="131">
        <v>219.71</v>
      </c>
      <c r="H61" s="133">
        <f t="shared" si="16"/>
        <v>3295.65</v>
      </c>
      <c r="I61" s="133">
        <f t="shared" si="17"/>
        <v>219.71</v>
      </c>
      <c r="J61" s="133">
        <f t="shared" si="18"/>
        <v>439.42</v>
      </c>
      <c r="K61" s="140"/>
      <c r="L61" s="139">
        <f t="shared" si="13"/>
        <v>850</v>
      </c>
      <c r="M61" s="131"/>
      <c r="N61" s="133"/>
      <c r="O61" s="133">
        <f t="shared" si="14"/>
        <v>4804.7800000000007</v>
      </c>
      <c r="P61" s="139">
        <v>488.52</v>
      </c>
      <c r="Q61" s="139"/>
      <c r="R61" s="156">
        <v>36.1</v>
      </c>
      <c r="S61" s="156"/>
      <c r="T61" s="139"/>
      <c r="U61" s="139"/>
      <c r="V61" s="133">
        <f t="shared" si="19"/>
        <v>524.62</v>
      </c>
      <c r="W61" s="176">
        <f t="shared" si="15"/>
        <v>4280.1600000000008</v>
      </c>
      <c r="X61" s="132">
        <v>850</v>
      </c>
      <c r="Y61" s="131"/>
    </row>
    <row r="62" spans="1:26" ht="14.45" x14ac:dyDescent="0.3">
      <c r="A62" s="4" t="s">
        <v>119</v>
      </c>
      <c r="B62" s="73" t="s">
        <v>58</v>
      </c>
      <c r="C62" s="73" t="s">
        <v>17</v>
      </c>
      <c r="D62" s="73"/>
      <c r="E62" s="175">
        <v>7</v>
      </c>
      <c r="F62" s="133" t="s">
        <v>127</v>
      </c>
      <c r="G62" s="133">
        <v>100.09</v>
      </c>
      <c r="H62" s="133">
        <f t="shared" si="16"/>
        <v>1501.3500000000001</v>
      </c>
      <c r="I62" s="133">
        <f t="shared" si="17"/>
        <v>100.09</v>
      </c>
      <c r="J62" s="133"/>
      <c r="K62" s="140"/>
      <c r="L62" s="139">
        <f t="shared" si="13"/>
        <v>100</v>
      </c>
      <c r="M62" s="133"/>
      <c r="N62" s="133"/>
      <c r="O62" s="133">
        <f t="shared" si="14"/>
        <v>1701.44</v>
      </c>
      <c r="P62" s="139">
        <v>97.8</v>
      </c>
      <c r="Q62" s="133"/>
      <c r="R62" s="141">
        <v>36.1</v>
      </c>
      <c r="S62" s="141"/>
      <c r="T62" s="133"/>
      <c r="U62" s="133"/>
      <c r="V62" s="133">
        <f t="shared" si="19"/>
        <v>133.9</v>
      </c>
      <c r="W62" s="176">
        <f t="shared" si="15"/>
        <v>1567.54</v>
      </c>
      <c r="X62" s="132">
        <v>100</v>
      </c>
      <c r="Y62" s="135"/>
    </row>
    <row r="63" spans="1:26" ht="14.45" x14ac:dyDescent="0.3">
      <c r="A63" s="187" t="s">
        <v>119</v>
      </c>
      <c r="B63" s="188" t="s">
        <v>58</v>
      </c>
      <c r="C63" s="188" t="s">
        <v>17</v>
      </c>
      <c r="D63" s="188"/>
      <c r="E63" s="175">
        <v>8</v>
      </c>
      <c r="F63" s="133" t="s">
        <v>128</v>
      </c>
      <c r="G63" s="133">
        <v>124.80000000000001</v>
      </c>
      <c r="H63" s="133">
        <f t="shared" si="16"/>
        <v>1872.0000000000002</v>
      </c>
      <c r="I63" s="133">
        <f t="shared" si="17"/>
        <v>124.80000000000001</v>
      </c>
      <c r="J63" s="133">
        <f t="shared" ref="J63" si="20">G63*2</f>
        <v>249.60000000000002</v>
      </c>
      <c r="K63" s="140"/>
      <c r="L63" s="139">
        <f t="shared" si="13"/>
        <v>100</v>
      </c>
      <c r="M63" s="133"/>
      <c r="N63" s="133"/>
      <c r="O63" s="133">
        <f t="shared" si="14"/>
        <v>2346.4</v>
      </c>
      <c r="P63" s="139">
        <v>151.21</v>
      </c>
      <c r="Q63" s="133"/>
      <c r="R63" s="141">
        <v>45</v>
      </c>
      <c r="S63" s="141"/>
      <c r="T63" s="133"/>
      <c r="U63" s="133"/>
      <c r="V63" s="133">
        <f t="shared" si="19"/>
        <v>196.21</v>
      </c>
      <c r="W63" s="176">
        <f t="shared" si="15"/>
        <v>2150.19</v>
      </c>
      <c r="X63" s="132">
        <v>100</v>
      </c>
      <c r="Y63" s="135"/>
    </row>
    <row r="64" spans="1:26" ht="14.45" x14ac:dyDescent="0.3">
      <c r="A64" s="4" t="s">
        <v>119</v>
      </c>
      <c r="B64" s="73" t="s">
        <v>58</v>
      </c>
      <c r="C64" s="73" t="s">
        <v>17</v>
      </c>
      <c r="D64" s="73"/>
      <c r="E64" s="175">
        <v>9</v>
      </c>
      <c r="F64" s="132" t="s">
        <v>129</v>
      </c>
      <c r="G64" s="132">
        <v>100.02</v>
      </c>
      <c r="H64" s="133">
        <f t="shared" si="16"/>
        <v>1500.3</v>
      </c>
      <c r="I64" s="133">
        <f t="shared" si="17"/>
        <v>100.02</v>
      </c>
      <c r="J64" s="133">
        <f>G64*2</f>
        <v>200.04</v>
      </c>
      <c r="K64" s="140"/>
      <c r="L64" s="139">
        <f t="shared" si="13"/>
        <v>100</v>
      </c>
      <c r="M64" s="132"/>
      <c r="N64" s="133"/>
      <c r="O64" s="133">
        <f t="shared" si="14"/>
        <v>1900.36</v>
      </c>
      <c r="P64" s="133">
        <v>110.61</v>
      </c>
      <c r="Q64" s="133"/>
      <c r="R64" s="141"/>
      <c r="S64" s="141"/>
      <c r="T64" s="133"/>
      <c r="U64" s="133"/>
      <c r="V64" s="133">
        <f t="shared" si="19"/>
        <v>110.61</v>
      </c>
      <c r="W64" s="176">
        <f t="shared" si="15"/>
        <v>1789.75</v>
      </c>
      <c r="X64" s="132">
        <v>100</v>
      </c>
      <c r="Y64" s="132">
        <v>0</v>
      </c>
    </row>
    <row r="65" spans="1:25" ht="14.45" x14ac:dyDescent="0.3">
      <c r="A65" s="4" t="s">
        <v>119</v>
      </c>
      <c r="B65" s="73" t="s">
        <v>58</v>
      </c>
      <c r="C65" s="73" t="s">
        <v>17</v>
      </c>
      <c r="D65" s="73"/>
      <c r="E65" s="175">
        <v>10</v>
      </c>
      <c r="F65" s="133" t="s">
        <v>130</v>
      </c>
      <c r="G65" s="133">
        <v>100.02</v>
      </c>
      <c r="H65" s="133">
        <f t="shared" si="16"/>
        <v>1500.3</v>
      </c>
      <c r="I65" s="133">
        <f t="shared" si="17"/>
        <v>100.02</v>
      </c>
      <c r="J65" s="133">
        <f>G65*2</f>
        <v>200.04</v>
      </c>
      <c r="K65" s="140"/>
      <c r="L65" s="139">
        <f t="shared" si="13"/>
        <v>100</v>
      </c>
      <c r="M65" s="133"/>
      <c r="N65" s="133"/>
      <c r="O65" s="133">
        <f t="shared" si="14"/>
        <v>1900.36</v>
      </c>
      <c r="P65" s="133">
        <v>110.61</v>
      </c>
      <c r="Q65" s="133"/>
      <c r="R65" s="141">
        <v>45</v>
      </c>
      <c r="S65" s="141"/>
      <c r="T65" s="133"/>
      <c r="U65" s="133"/>
      <c r="V65" s="133">
        <f t="shared" si="19"/>
        <v>155.61000000000001</v>
      </c>
      <c r="W65" s="176">
        <f t="shared" si="15"/>
        <v>1744.75</v>
      </c>
      <c r="X65" s="132">
        <v>100</v>
      </c>
      <c r="Y65" s="135"/>
    </row>
    <row r="66" spans="1:25" s="118" customFormat="1" ht="14.45" x14ac:dyDescent="0.3">
      <c r="A66" s="4" t="s">
        <v>119</v>
      </c>
      <c r="B66" s="73" t="s">
        <v>58</v>
      </c>
      <c r="C66" s="73" t="s">
        <v>25</v>
      </c>
      <c r="D66" s="73"/>
      <c r="E66" s="175">
        <v>11</v>
      </c>
      <c r="F66" s="149" t="s">
        <v>131</v>
      </c>
      <c r="G66" s="149">
        <v>216.66</v>
      </c>
      <c r="H66" s="149">
        <f t="shared" si="16"/>
        <v>3249.9</v>
      </c>
      <c r="I66" s="133">
        <f t="shared" si="17"/>
        <v>216.66</v>
      </c>
      <c r="J66" s="150"/>
      <c r="K66" s="182"/>
      <c r="L66" s="139">
        <v>200</v>
      </c>
      <c r="M66" s="149"/>
      <c r="N66" s="149"/>
      <c r="O66" s="133">
        <f t="shared" si="14"/>
        <v>3666.56</v>
      </c>
      <c r="P66" s="149">
        <v>295.74</v>
      </c>
      <c r="Q66" s="149">
        <v>200</v>
      </c>
      <c r="R66" s="151"/>
      <c r="S66" s="151"/>
      <c r="T66" s="149"/>
      <c r="U66" s="149"/>
      <c r="V66" s="133">
        <f t="shared" si="19"/>
        <v>495.74</v>
      </c>
      <c r="W66" s="176">
        <f t="shared" si="15"/>
        <v>3170.8199999999997</v>
      </c>
      <c r="X66" s="183"/>
      <c r="Y66" s="183"/>
    </row>
    <row r="67" spans="1:25" s="118" customFormat="1" ht="14.45" x14ac:dyDescent="0.3">
      <c r="A67" s="4" t="s">
        <v>119</v>
      </c>
      <c r="B67" s="73" t="s">
        <v>58</v>
      </c>
      <c r="C67" s="73" t="s">
        <v>25</v>
      </c>
      <c r="D67" s="73"/>
      <c r="E67" s="175">
        <v>12</v>
      </c>
      <c r="F67" s="149" t="s">
        <v>235</v>
      </c>
      <c r="G67" s="132">
        <v>100.02</v>
      </c>
      <c r="H67" s="149">
        <f t="shared" si="16"/>
        <v>1500.3</v>
      </c>
      <c r="I67" s="133">
        <f t="shared" si="17"/>
        <v>100.02</v>
      </c>
      <c r="J67" s="150">
        <f>G67*2</f>
        <v>200.04</v>
      </c>
      <c r="K67" s="182"/>
      <c r="L67" s="139">
        <f>G67</f>
        <v>100.02</v>
      </c>
      <c r="M67" s="149"/>
      <c r="N67" s="149"/>
      <c r="O67" s="133">
        <f t="shared" si="14"/>
        <v>1900.3799999999999</v>
      </c>
      <c r="P67" s="133">
        <v>110.61</v>
      </c>
      <c r="Q67" s="149"/>
      <c r="R67" s="151"/>
      <c r="S67" s="151"/>
      <c r="T67" s="149"/>
      <c r="U67" s="149"/>
      <c r="V67" s="133">
        <f t="shared" si="19"/>
        <v>110.61</v>
      </c>
      <c r="W67" s="176">
        <f t="shared" si="15"/>
        <v>1789.77</v>
      </c>
      <c r="X67" s="183"/>
      <c r="Y67" s="183"/>
    </row>
    <row r="68" spans="1:25" s="118" customFormat="1" ht="14.45" x14ac:dyDescent="0.3">
      <c r="A68" s="2"/>
      <c r="B68" s="2"/>
      <c r="C68" s="2"/>
      <c r="D68" s="2"/>
      <c r="E68" s="2"/>
      <c r="F68" s="2"/>
      <c r="G68" s="43"/>
      <c r="H68" s="43"/>
      <c r="I68" s="43"/>
      <c r="J68" s="43"/>
      <c r="K68" s="185"/>
      <c r="L68" s="43"/>
      <c r="M68" s="43"/>
      <c r="N68" s="43"/>
      <c r="O68" s="43"/>
      <c r="P68" s="43"/>
      <c r="Q68" s="43"/>
      <c r="R68" s="186"/>
      <c r="S68" s="186"/>
      <c r="T68" s="43"/>
      <c r="U68" s="43"/>
      <c r="V68" s="185"/>
      <c r="W68" s="185" t="e">
        <f>#REF!+'[2]BASE '!AB55</f>
        <v>#REF!</v>
      </c>
      <c r="X68" s="2"/>
      <c r="Y68" s="2"/>
    </row>
    <row r="69" spans="1:25" s="118" customFormat="1" ht="11.25" customHeight="1" x14ac:dyDescent="0.3">
      <c r="A69" s="2"/>
      <c r="B69" s="2"/>
      <c r="C69" s="2"/>
      <c r="D69" s="2"/>
      <c r="E69" s="2"/>
      <c r="F69" s="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186"/>
      <c r="S69" s="186"/>
      <c r="T69" s="185"/>
      <c r="U69" s="43"/>
      <c r="V69" s="43"/>
      <c r="W69" s="185"/>
      <c r="X69" s="2"/>
      <c r="Y69" s="2"/>
    </row>
    <row r="70" spans="1:25" s="118" customFormat="1" ht="11.25" customHeight="1" x14ac:dyDescent="0.3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43"/>
      <c r="Q70" s="106"/>
      <c r="R70" s="106"/>
      <c r="S70" s="106"/>
      <c r="T70" s="106"/>
      <c r="U70" s="106"/>
      <c r="V70" s="106"/>
      <c r="W70" s="106"/>
      <c r="X70" s="106"/>
      <c r="Y70" s="106"/>
    </row>
    <row r="71" spans="1:25" s="118" customFormat="1" ht="11.25" customHeight="1" x14ac:dyDescent="0.3">
      <c r="A71" s="2"/>
      <c r="B71" s="2"/>
      <c r="C71" s="2"/>
      <c r="D71" s="2"/>
      <c r="E71" s="2"/>
      <c r="F71" s="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186"/>
      <c r="S71" s="186"/>
      <c r="T71" s="185"/>
      <c r="U71" s="43"/>
      <c r="V71" s="43"/>
      <c r="W71" s="43"/>
      <c r="X71" s="2"/>
      <c r="Y71" s="2"/>
    </row>
    <row r="72" spans="1:25" s="118" customFormat="1" ht="11.25" customHeight="1" x14ac:dyDescent="0.3">
      <c r="A72" s="2"/>
      <c r="B72" s="2"/>
      <c r="C72" s="2"/>
      <c r="D72" s="2"/>
      <c r="E72" s="2"/>
      <c r="F72" s="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186"/>
      <c r="S72" s="186"/>
      <c r="T72" s="43"/>
      <c r="U72" s="43"/>
      <c r="V72" s="43"/>
      <c r="W72" s="43"/>
      <c r="X72" s="2"/>
      <c r="Y72" s="2"/>
    </row>
    <row r="73" spans="1:25" s="118" customFormat="1" ht="11.25" customHeight="1" x14ac:dyDescent="0.3">
      <c r="A73" s="2"/>
      <c r="B73" s="2"/>
      <c r="C73" s="2"/>
      <c r="D73" s="2"/>
      <c r="E73" s="2"/>
      <c r="F73" s="2"/>
      <c r="G73" s="43"/>
      <c r="H73" s="43"/>
      <c r="I73" s="43"/>
      <c r="J73" s="43"/>
      <c r="K73" s="43"/>
      <c r="L73" s="43"/>
      <c r="M73" s="43"/>
      <c r="N73" s="43"/>
      <c r="O73" s="43"/>
      <c r="P73" s="106"/>
      <c r="Q73" s="43"/>
      <c r="R73" s="186"/>
      <c r="S73" s="186"/>
      <c r="T73" s="43"/>
      <c r="U73" s="43"/>
      <c r="V73" s="43"/>
      <c r="W73" s="43"/>
      <c r="X73" s="2"/>
      <c r="Y73" s="2"/>
    </row>
    <row r="74" spans="1:25" s="118" customFormat="1" ht="11.25" customHeight="1" x14ac:dyDescent="0.3">
      <c r="A74" s="2"/>
      <c r="B74" s="2"/>
      <c r="C74" s="2"/>
      <c r="D74" s="2"/>
      <c r="E74" s="2"/>
      <c r="F74" s="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186"/>
      <c r="S74" s="186"/>
      <c r="T74" s="43"/>
      <c r="U74" s="43"/>
      <c r="V74" s="43"/>
      <c r="W74" s="43"/>
      <c r="X74" s="2"/>
      <c r="Y74" s="2"/>
    </row>
    <row r="75" spans="1:25" s="118" customFormat="1" ht="11.25" customHeight="1" x14ac:dyDescent="0.3">
      <c r="A75" s="2"/>
      <c r="B75" s="2"/>
      <c r="C75" s="2"/>
      <c r="D75" s="2"/>
      <c r="E75" s="2"/>
      <c r="F75" s="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186"/>
      <c r="S75" s="186"/>
      <c r="T75" s="43"/>
      <c r="U75" s="43"/>
      <c r="V75" s="43"/>
      <c r="W75" s="43"/>
      <c r="X75" s="2"/>
      <c r="Y75" s="2"/>
    </row>
    <row r="76" spans="1:25" s="118" customFormat="1" ht="11.25" customHeight="1" x14ac:dyDescent="0.3">
      <c r="A76" s="2"/>
      <c r="B76" s="2"/>
      <c r="C76" s="2"/>
      <c r="D76" s="2"/>
      <c r="E76" s="2"/>
      <c r="F76" s="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186"/>
      <c r="S76" s="186"/>
      <c r="T76" s="43"/>
      <c r="U76" s="43"/>
      <c r="V76" s="43"/>
      <c r="W76" s="43"/>
      <c r="X76" s="2"/>
      <c r="Y76" s="2"/>
    </row>
    <row r="77" spans="1:25" s="118" customFormat="1" ht="11.25" customHeight="1" x14ac:dyDescent="0.3">
      <c r="A77" s="2"/>
      <c r="B77" s="2"/>
      <c r="C77" s="2"/>
      <c r="D77" s="2"/>
      <c r="E77" s="2"/>
      <c r="F77" s="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186"/>
      <c r="S77" s="186"/>
      <c r="T77" s="43"/>
      <c r="U77" s="43"/>
      <c r="V77" s="43"/>
      <c r="W77" s="43"/>
      <c r="X77" s="2"/>
      <c r="Y77" s="2"/>
    </row>
    <row r="81" spans="6:26" s="2" customFormat="1" x14ac:dyDescent="0.25"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186"/>
      <c r="S81" s="186"/>
      <c r="T81" s="43"/>
      <c r="U81" s="43"/>
      <c r="V81" s="43"/>
      <c r="W81" s="43"/>
      <c r="Z81" s="118"/>
    </row>
    <row r="82" spans="6:26" s="2" customFormat="1" x14ac:dyDescent="0.25"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186"/>
      <c r="S82" s="186"/>
      <c r="T82" s="43"/>
      <c r="U82" s="43"/>
      <c r="V82" s="43"/>
      <c r="W82" s="43"/>
      <c r="Z82" s="118"/>
    </row>
    <row r="83" spans="6:26" s="2" customFormat="1" x14ac:dyDescent="0.25"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186"/>
      <c r="S83" s="186"/>
      <c r="T83" s="43"/>
      <c r="U83" s="43"/>
      <c r="V83" s="43"/>
      <c r="W83" s="43"/>
      <c r="Z83" s="118"/>
    </row>
    <row r="84" spans="6:26" s="2" customFormat="1" x14ac:dyDescent="0.25"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186"/>
      <c r="S84" s="186"/>
      <c r="T84" s="43"/>
      <c r="U84" s="43"/>
      <c r="V84" s="43"/>
      <c r="W84" s="43"/>
      <c r="Z84" s="118"/>
    </row>
    <row r="85" spans="6:26" s="2" customFormat="1" x14ac:dyDescent="0.25"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186"/>
      <c r="S85" s="186"/>
      <c r="T85" s="43"/>
      <c r="U85" s="43"/>
      <c r="V85" s="43"/>
      <c r="W85" s="43"/>
      <c r="Z85" s="118"/>
    </row>
    <row r="86" spans="6:26" s="2" customFormat="1" x14ac:dyDescent="0.25"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186"/>
      <c r="S86" s="186"/>
      <c r="T86" s="43"/>
      <c r="U86" s="43"/>
      <c r="V86" s="43"/>
      <c r="W86" s="43"/>
      <c r="Z86" s="118"/>
    </row>
    <row r="96" spans="6:26" s="2" customFormat="1" ht="15.75" thickBot="1" x14ac:dyDescent="0.3">
      <c r="F96" s="2" t="s">
        <v>289</v>
      </c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186"/>
      <c r="S96" s="186"/>
      <c r="T96" s="43"/>
      <c r="U96" s="43"/>
      <c r="V96" s="43"/>
      <c r="W96" s="43"/>
      <c r="Z96" s="118"/>
    </row>
    <row r="97" spans="1:25" s="118" customFormat="1" ht="33" customHeight="1" thickBot="1" x14ac:dyDescent="0.3">
      <c r="A97" s="123" t="s">
        <v>279</v>
      </c>
      <c r="B97" s="67" t="s">
        <v>249</v>
      </c>
      <c r="C97" s="67" t="s">
        <v>250</v>
      </c>
      <c r="D97" s="67" t="s">
        <v>251</v>
      </c>
      <c r="E97" s="124" t="s">
        <v>0</v>
      </c>
      <c r="F97" s="125" t="s">
        <v>280</v>
      </c>
      <c r="G97" s="126" t="s">
        <v>281</v>
      </c>
      <c r="H97" s="126" t="s">
        <v>254</v>
      </c>
      <c r="I97" s="126" t="s">
        <v>257</v>
      </c>
      <c r="J97" s="126" t="s">
        <v>261</v>
      </c>
      <c r="K97" s="126" t="s">
        <v>282</v>
      </c>
      <c r="L97" s="126" t="s">
        <v>283</v>
      </c>
      <c r="M97" s="174" t="s">
        <v>264</v>
      </c>
      <c r="N97" s="126" t="s">
        <v>265</v>
      </c>
      <c r="O97" s="126" t="s">
        <v>55</v>
      </c>
      <c r="P97" s="126" t="s">
        <v>1</v>
      </c>
      <c r="Q97" s="126" t="s">
        <v>284</v>
      </c>
      <c r="R97" s="128" t="s">
        <v>56</v>
      </c>
      <c r="S97" s="128"/>
      <c r="T97" s="126" t="s">
        <v>285</v>
      </c>
      <c r="U97" s="126" t="s">
        <v>286</v>
      </c>
      <c r="V97" s="126" t="s">
        <v>272</v>
      </c>
      <c r="W97" s="126" t="s">
        <v>273</v>
      </c>
      <c r="X97" s="126" t="s">
        <v>287</v>
      </c>
      <c r="Y97" s="126" t="s">
        <v>288</v>
      </c>
    </row>
    <row r="98" spans="1:25" s="118" customFormat="1" ht="9" customHeight="1" x14ac:dyDescent="0.25">
      <c r="A98" s="4" t="s">
        <v>24</v>
      </c>
      <c r="B98" s="73" t="s">
        <v>58</v>
      </c>
      <c r="C98" s="73" t="s">
        <v>25</v>
      </c>
      <c r="D98" s="73"/>
      <c r="E98" s="148">
        <v>2</v>
      </c>
      <c r="F98" s="149" t="s">
        <v>240</v>
      </c>
      <c r="G98" s="150">
        <v>216.67</v>
      </c>
      <c r="H98" s="132">
        <f t="shared" ref="H98" si="21">G98*15</f>
        <v>3250.0499999999997</v>
      </c>
      <c r="I98" s="150"/>
      <c r="J98" s="149">
        <v>0</v>
      </c>
      <c r="K98" s="149"/>
      <c r="L98" s="150"/>
      <c r="M98" s="150"/>
      <c r="N98" s="149"/>
      <c r="O98" s="150">
        <f t="shared" ref="O98" si="22">SUM(H98:N98)</f>
        <v>3250.0499999999997</v>
      </c>
      <c r="P98" s="149">
        <v>249.52</v>
      </c>
      <c r="Q98" s="149"/>
      <c r="R98" s="151"/>
      <c r="S98" s="151"/>
      <c r="T98" s="149"/>
      <c r="U98" s="149"/>
      <c r="V98" s="150">
        <f>SUM(P98:U98)</f>
        <v>249.52</v>
      </c>
      <c r="W98" s="135">
        <f>O98-V98</f>
        <v>3000.5299999999997</v>
      </c>
      <c r="X98" s="133">
        <v>100</v>
      </c>
      <c r="Y98" s="133"/>
    </row>
  </sheetData>
  <pageMargins left="0.59055118110236227" right="0" top="0" bottom="0" header="0" footer="0"/>
  <pageSetup paperSize="5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8"/>
  <sheetViews>
    <sheetView topLeftCell="G1" workbookViewId="0">
      <selection activeCell="T40" sqref="T40"/>
    </sheetView>
  </sheetViews>
  <sheetFormatPr baseColWidth="10" defaultRowHeight="15" x14ac:dyDescent="0.25"/>
  <cols>
    <col min="1" max="1" width="12" style="106" hidden="1" customWidth="1"/>
    <col min="2" max="2" width="11" style="2" hidden="1" customWidth="1"/>
    <col min="3" max="3" width="28.42578125" style="2" hidden="1" customWidth="1"/>
    <col min="4" max="4" width="13" style="2" hidden="1" customWidth="1"/>
    <col min="5" max="5" width="4.85546875" style="46" bestFit="1" customWidth="1"/>
    <col min="6" max="6" width="22.42578125" style="46" bestFit="1" customWidth="1"/>
    <col min="7" max="7" width="9.28515625" style="46" bestFit="1" customWidth="1"/>
    <col min="8" max="9" width="9.28515625" style="46" customWidth="1"/>
    <col min="10" max="10" width="14.7109375" style="46" customWidth="1"/>
    <col min="11" max="11" width="9.28515625" style="46" customWidth="1"/>
    <col min="12" max="12" width="9.7109375" style="46" bestFit="1" customWidth="1"/>
    <col min="13" max="16" width="8.7109375" style="46" bestFit="1" customWidth="1"/>
    <col min="17" max="17" width="7.28515625" style="46" bestFit="1" customWidth="1"/>
    <col min="18" max="19" width="9.28515625" style="46" bestFit="1" customWidth="1"/>
    <col min="20" max="20" width="10" style="46" bestFit="1" customWidth="1"/>
    <col min="21" max="21" width="9.5703125" style="191" customWidth="1"/>
    <col min="22" max="22" width="8.42578125" style="46" bestFit="1" customWidth="1"/>
    <col min="23" max="23" width="7.42578125" style="46" bestFit="1" customWidth="1"/>
    <col min="24" max="24" width="8.140625" style="46" bestFit="1" customWidth="1"/>
    <col min="25" max="26" width="8.7109375" style="46" bestFit="1" customWidth="1"/>
    <col min="27" max="27" width="9.42578125" style="46" bestFit="1" customWidth="1"/>
    <col min="28" max="28" width="9.28515625" style="46" customWidth="1"/>
    <col min="29" max="29" width="9.28515625" style="106" hidden="1" customWidth="1"/>
    <col min="30" max="30" width="8.7109375" style="106" hidden="1" customWidth="1"/>
    <col min="31" max="31" width="9" hidden="1" customWidth="1"/>
    <col min="32" max="32" width="9" customWidth="1"/>
  </cols>
  <sheetData>
    <row r="1" spans="1:31" ht="11.25" customHeight="1" x14ac:dyDescent="0.3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C1" s="44"/>
      <c r="AD1" s="44"/>
    </row>
    <row r="2" spans="1:31" ht="11.25" customHeight="1" x14ac:dyDescent="0.3">
      <c r="A2" s="47"/>
      <c r="B2" s="1"/>
      <c r="C2" s="1"/>
      <c r="D2" s="1"/>
      <c r="E2" s="48"/>
      <c r="F2" s="48"/>
      <c r="G2" s="48"/>
      <c r="H2" s="48"/>
      <c r="I2" s="48"/>
      <c r="J2" s="49" t="s">
        <v>246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8"/>
      <c r="W2" s="48"/>
      <c r="X2" s="48"/>
      <c r="Y2" s="48"/>
      <c r="Z2" s="48"/>
      <c r="AA2" s="48"/>
      <c r="AC2" s="47"/>
      <c r="AD2" s="47"/>
    </row>
    <row r="3" spans="1:31" ht="11.25" customHeight="1" x14ac:dyDescent="0.3">
      <c r="A3" s="50"/>
      <c r="B3" s="1"/>
      <c r="C3" s="1"/>
      <c r="D3" s="1"/>
      <c r="E3" s="51"/>
      <c r="F3" s="51"/>
      <c r="G3" s="51"/>
      <c r="H3" s="51"/>
      <c r="I3" s="51"/>
      <c r="J3" s="52" t="str">
        <f>[3]EVENTUAL!J2</f>
        <v>NOMINA DEL  01 AL 15 DE FEBRERO DEL 2017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189"/>
      <c r="V3" s="51"/>
      <c r="W3" s="51"/>
      <c r="X3" s="51"/>
      <c r="Y3" s="51"/>
      <c r="Z3" s="51"/>
      <c r="AA3" s="51"/>
      <c r="AC3" s="50"/>
      <c r="AD3" s="50"/>
    </row>
    <row r="4" spans="1:31" s="65" customFormat="1" thickBot="1" x14ac:dyDescent="0.35">
      <c r="A4" s="53"/>
      <c r="B4" s="54"/>
      <c r="C4" s="54"/>
      <c r="D4" s="54"/>
      <c r="E4" s="55"/>
      <c r="F4" s="56"/>
      <c r="G4" s="57">
        <v>11301</v>
      </c>
      <c r="H4" s="58">
        <v>13301</v>
      </c>
      <c r="I4" s="58">
        <v>13301</v>
      </c>
      <c r="J4" s="57">
        <v>11301</v>
      </c>
      <c r="K4" s="57">
        <v>15404</v>
      </c>
      <c r="L4" s="57">
        <v>15901</v>
      </c>
      <c r="M4" s="57">
        <v>17103</v>
      </c>
      <c r="N4" s="57">
        <v>17103</v>
      </c>
      <c r="O4" s="57">
        <v>15406</v>
      </c>
      <c r="P4" s="57">
        <v>15903</v>
      </c>
      <c r="Q4" s="59">
        <v>1197</v>
      </c>
      <c r="R4" s="57">
        <v>13204</v>
      </c>
      <c r="S4" s="57">
        <v>13204</v>
      </c>
      <c r="T4" s="57"/>
      <c r="U4" s="190">
        <v>2111.1</v>
      </c>
      <c r="V4" s="57">
        <v>52010102</v>
      </c>
      <c r="W4" s="57">
        <v>52010501</v>
      </c>
      <c r="X4" s="60">
        <v>52010304</v>
      </c>
      <c r="Y4" s="57">
        <v>52010104</v>
      </c>
      <c r="Z4" s="61">
        <v>52010305</v>
      </c>
      <c r="AA4" s="62"/>
      <c r="AB4" s="63"/>
      <c r="AC4" s="64" t="s">
        <v>247</v>
      </c>
      <c r="AD4" s="64" t="s">
        <v>247</v>
      </c>
    </row>
    <row r="5" spans="1:31" ht="37.9" customHeight="1" thickBot="1" x14ac:dyDescent="0.35">
      <c r="A5" s="66" t="s">
        <v>248</v>
      </c>
      <c r="B5" s="67" t="s">
        <v>249</v>
      </c>
      <c r="C5" s="67" t="s">
        <v>250</v>
      </c>
      <c r="D5" s="67" t="s">
        <v>251</v>
      </c>
      <c r="E5" s="68" t="s">
        <v>252</v>
      </c>
      <c r="F5" s="69" t="s">
        <v>253</v>
      </c>
      <c r="G5" s="69" t="s">
        <v>254</v>
      </c>
      <c r="H5" s="70" t="s">
        <v>255</v>
      </c>
      <c r="I5" s="70" t="s">
        <v>255</v>
      </c>
      <c r="J5" s="69" t="s">
        <v>256</v>
      </c>
      <c r="K5" s="70" t="s">
        <v>257</v>
      </c>
      <c r="L5" s="69" t="s">
        <v>258</v>
      </c>
      <c r="M5" s="69" t="s">
        <v>259</v>
      </c>
      <c r="N5" s="69" t="s">
        <v>260</v>
      </c>
      <c r="O5" s="69" t="s">
        <v>261</v>
      </c>
      <c r="P5" s="69" t="s">
        <v>262</v>
      </c>
      <c r="Q5" s="69" t="s">
        <v>263</v>
      </c>
      <c r="R5" s="69" t="s">
        <v>264</v>
      </c>
      <c r="S5" s="69" t="s">
        <v>265</v>
      </c>
      <c r="T5" s="69" t="s">
        <v>266</v>
      </c>
      <c r="U5" s="71" t="s">
        <v>1</v>
      </c>
      <c r="V5" s="69" t="s">
        <v>267</v>
      </c>
      <c r="W5" s="69" t="s">
        <v>268</v>
      </c>
      <c r="X5" s="69" t="s">
        <v>269</v>
      </c>
      <c r="Y5" s="69" t="s">
        <v>270</v>
      </c>
      <c r="Z5" s="69" t="s">
        <v>271</v>
      </c>
      <c r="AA5" s="69" t="s">
        <v>272</v>
      </c>
      <c r="AB5" s="71" t="s">
        <v>273</v>
      </c>
      <c r="AC5" s="66" t="s">
        <v>258</v>
      </c>
      <c r="AD5" s="66" t="s">
        <v>258</v>
      </c>
    </row>
    <row r="6" spans="1:31" ht="12.6" customHeight="1" x14ac:dyDescent="0.3">
      <c r="A6" s="72" t="s">
        <v>2</v>
      </c>
      <c r="B6" s="73" t="s">
        <v>3</v>
      </c>
      <c r="C6" s="73" t="s">
        <v>4</v>
      </c>
      <c r="D6" s="73"/>
      <c r="E6" s="74">
        <v>28</v>
      </c>
      <c r="F6" s="75" t="s">
        <v>5</v>
      </c>
      <c r="G6" s="76">
        <v>3575.07</v>
      </c>
      <c r="H6" s="76"/>
      <c r="I6" s="76"/>
      <c r="J6" s="76">
        <v>160.38</v>
      </c>
      <c r="K6" s="76"/>
      <c r="L6" s="76">
        <f>AC6+AD6</f>
        <v>326.42</v>
      </c>
      <c r="M6" s="76">
        <v>325.51</v>
      </c>
      <c r="N6" s="76">
        <v>310.01</v>
      </c>
      <c r="O6" s="76"/>
      <c r="P6" s="76">
        <v>194.4</v>
      </c>
      <c r="Q6" s="77"/>
      <c r="R6" s="77"/>
      <c r="S6" s="77"/>
      <c r="T6" s="78">
        <f t="shared" ref="T6:T15" si="0">SUM(G6:S6)</f>
        <v>4891.79</v>
      </c>
      <c r="U6" s="79">
        <v>504.11</v>
      </c>
      <c r="V6" s="78">
        <v>72.36</v>
      </c>
      <c r="W6" s="78">
        <v>18.55</v>
      </c>
      <c r="X6" s="78"/>
      <c r="Y6" s="78"/>
      <c r="Z6" s="78"/>
      <c r="AA6" s="78">
        <f t="shared" ref="AA6:AA15" si="1">SUM(U6:Z6)</f>
        <v>595.02</v>
      </c>
      <c r="AB6" s="78">
        <f>T6-AA6</f>
        <v>4296.7700000000004</v>
      </c>
      <c r="AC6" s="80">
        <v>326.42</v>
      </c>
      <c r="AD6" s="80"/>
    </row>
    <row r="7" spans="1:31" ht="12.6" customHeight="1" x14ac:dyDescent="0.3">
      <c r="A7" s="81" t="s">
        <v>6</v>
      </c>
      <c r="B7" s="73" t="s">
        <v>3</v>
      </c>
      <c r="C7" s="73" t="s">
        <v>7</v>
      </c>
      <c r="D7" s="73"/>
      <c r="E7" s="82">
        <v>31</v>
      </c>
      <c r="F7" s="83" t="s">
        <v>8</v>
      </c>
      <c r="G7" s="76">
        <v>4090.7400000000002</v>
      </c>
      <c r="H7" s="76"/>
      <c r="I7" s="76"/>
      <c r="J7" s="76" t="s">
        <v>274</v>
      </c>
      <c r="K7" s="76"/>
      <c r="L7" s="76">
        <f t="shared" ref="L7:L28" si="2">AC7+AD7</f>
        <v>2303.31</v>
      </c>
      <c r="M7" s="76" t="s">
        <v>274</v>
      </c>
      <c r="N7" s="76" t="s">
        <v>274</v>
      </c>
      <c r="O7" s="76"/>
      <c r="P7" s="76" t="s">
        <v>274</v>
      </c>
      <c r="Q7" s="84"/>
      <c r="R7" s="84"/>
      <c r="S7" s="84"/>
      <c r="T7" s="78">
        <f t="shared" si="0"/>
        <v>6394.05</v>
      </c>
      <c r="U7" s="85">
        <v>818.58</v>
      </c>
      <c r="V7" s="86">
        <v>111.49</v>
      </c>
      <c r="W7" s="86">
        <v>23.41</v>
      </c>
      <c r="X7" s="86"/>
      <c r="Y7" s="86"/>
      <c r="Z7" s="86"/>
      <c r="AA7" s="78">
        <f t="shared" si="1"/>
        <v>953.48</v>
      </c>
      <c r="AB7" s="78">
        <f t="shared" ref="AB7:AB28" si="3">T7-AA7</f>
        <v>5440.57</v>
      </c>
      <c r="AC7" s="80">
        <v>2303.31</v>
      </c>
      <c r="AD7" s="80"/>
    </row>
    <row r="8" spans="1:31" ht="12.6" customHeight="1" x14ac:dyDescent="0.25">
      <c r="A8" s="87" t="s">
        <v>6</v>
      </c>
      <c r="B8" s="73" t="s">
        <v>3</v>
      </c>
      <c r="C8" s="73" t="s">
        <v>9</v>
      </c>
      <c r="D8" s="73"/>
      <c r="E8" s="88">
        <v>82</v>
      </c>
      <c r="F8" s="89" t="s">
        <v>10</v>
      </c>
      <c r="G8" s="76">
        <v>2351.3200000000002</v>
      </c>
      <c r="H8" s="76"/>
      <c r="I8" s="76">
        <f>H8</f>
        <v>0</v>
      </c>
      <c r="J8" s="76">
        <v>125.97</v>
      </c>
      <c r="K8" s="76"/>
      <c r="L8" s="76">
        <f t="shared" si="2"/>
        <v>567.79</v>
      </c>
      <c r="M8" s="76">
        <v>170.14</v>
      </c>
      <c r="N8" s="76">
        <v>170.14</v>
      </c>
      <c r="O8" s="76"/>
      <c r="P8" s="76">
        <v>108</v>
      </c>
      <c r="Q8" s="76"/>
      <c r="R8" s="76"/>
      <c r="S8" s="76"/>
      <c r="T8" s="78">
        <f t="shared" si="0"/>
        <v>3493.3599999999997</v>
      </c>
      <c r="U8" s="90">
        <v>150.88999999999999</v>
      </c>
      <c r="V8" s="91">
        <v>46.93</v>
      </c>
      <c r="W8" s="91">
        <v>18.899999999999999</v>
      </c>
      <c r="X8" s="91"/>
      <c r="Y8" s="91">
        <v>412.98</v>
      </c>
      <c r="Z8" s="91"/>
      <c r="AA8" s="78">
        <f t="shared" si="1"/>
        <v>629.70000000000005</v>
      </c>
      <c r="AB8" s="78">
        <f t="shared" si="3"/>
        <v>2863.66</v>
      </c>
      <c r="AC8" s="80">
        <v>567.79</v>
      </c>
      <c r="AD8" s="80"/>
    </row>
    <row r="9" spans="1:31" ht="12.6" customHeight="1" x14ac:dyDescent="0.3">
      <c r="A9" s="87" t="s">
        <v>6</v>
      </c>
      <c r="B9" s="73" t="s">
        <v>3</v>
      </c>
      <c r="C9" s="73" t="s">
        <v>9</v>
      </c>
      <c r="D9" s="73"/>
      <c r="E9" s="88">
        <v>110</v>
      </c>
      <c r="F9" s="92" t="s">
        <v>275</v>
      </c>
      <c r="G9" s="76">
        <v>2313.23</v>
      </c>
      <c r="H9" s="76">
        <f>G9/15*1.5</f>
        <v>231.32300000000004</v>
      </c>
      <c r="I9" s="76">
        <f>H9</f>
        <v>231.32300000000004</v>
      </c>
      <c r="J9" s="76">
        <v>160.38</v>
      </c>
      <c r="K9" s="76"/>
      <c r="L9" s="76">
        <f t="shared" si="2"/>
        <v>608.89</v>
      </c>
      <c r="M9" s="76">
        <v>193.79</v>
      </c>
      <c r="N9" s="76">
        <v>193.79</v>
      </c>
      <c r="O9" s="76"/>
      <c r="P9" s="76">
        <v>194.4</v>
      </c>
      <c r="Q9" s="76"/>
      <c r="R9" s="76"/>
      <c r="S9" s="76"/>
      <c r="T9" s="78">
        <f t="shared" si="0"/>
        <v>4127.1259999999993</v>
      </c>
      <c r="U9" s="90">
        <v>369.43</v>
      </c>
      <c r="V9" s="91">
        <v>48.11</v>
      </c>
      <c r="W9" s="91">
        <v>19.38</v>
      </c>
      <c r="X9" s="91"/>
      <c r="Y9" s="91">
        <v>624.52</v>
      </c>
      <c r="Z9" s="91"/>
      <c r="AA9" s="78">
        <f t="shared" si="1"/>
        <v>1061.44</v>
      </c>
      <c r="AB9" s="78">
        <f t="shared" si="3"/>
        <v>3065.6859999999992</v>
      </c>
      <c r="AC9" s="80">
        <v>608.89</v>
      </c>
      <c r="AD9" s="80"/>
    </row>
    <row r="10" spans="1:31" ht="12.6" customHeight="1" x14ac:dyDescent="0.3">
      <c r="A10" s="87" t="s">
        <v>11</v>
      </c>
      <c r="B10" s="73" t="s">
        <v>3</v>
      </c>
      <c r="C10" s="73" t="s">
        <v>12</v>
      </c>
      <c r="D10" s="73"/>
      <c r="E10" s="88">
        <v>121</v>
      </c>
      <c r="F10" s="92" t="s">
        <v>13</v>
      </c>
      <c r="G10" s="76">
        <v>2791.41</v>
      </c>
      <c r="H10" s="76"/>
      <c r="I10" s="76">
        <f t="shared" ref="I10" si="4">H10</f>
        <v>0</v>
      </c>
      <c r="J10" s="76">
        <v>188.44</v>
      </c>
      <c r="K10" s="76"/>
      <c r="L10" s="76">
        <f t="shared" si="2"/>
        <v>800</v>
      </c>
      <c r="M10" s="76">
        <v>237.33</v>
      </c>
      <c r="N10" s="76">
        <v>237.33</v>
      </c>
      <c r="O10" s="76"/>
      <c r="P10" s="76">
        <v>97.2</v>
      </c>
      <c r="Q10" s="76"/>
      <c r="R10" s="76"/>
      <c r="S10" s="76">
        <f>R10*0.28</f>
        <v>0</v>
      </c>
      <c r="T10" s="78">
        <f t="shared" si="0"/>
        <v>4351.71</v>
      </c>
      <c r="U10" s="90">
        <v>407.33</v>
      </c>
      <c r="V10" s="91">
        <v>50.86</v>
      </c>
      <c r="W10" s="91">
        <v>17.350000000000001</v>
      </c>
      <c r="X10" s="91">
        <v>500</v>
      </c>
      <c r="Y10" s="91"/>
      <c r="Z10" s="91"/>
      <c r="AA10" s="78">
        <f t="shared" si="1"/>
        <v>975.54</v>
      </c>
      <c r="AB10" s="78">
        <f t="shared" si="3"/>
        <v>3376.17</v>
      </c>
      <c r="AC10" s="80">
        <v>300</v>
      </c>
      <c r="AD10" s="80">
        <v>500</v>
      </c>
    </row>
    <row r="11" spans="1:31" ht="12.6" customHeight="1" x14ac:dyDescent="0.3">
      <c r="A11" s="87" t="s">
        <v>14</v>
      </c>
      <c r="B11" s="73" t="s">
        <v>3</v>
      </c>
      <c r="C11" s="73" t="s">
        <v>15</v>
      </c>
      <c r="D11" s="73"/>
      <c r="E11" s="88">
        <v>11</v>
      </c>
      <c r="F11" s="93" t="s">
        <v>16</v>
      </c>
      <c r="G11" s="76">
        <v>2156.5499999999997</v>
      </c>
      <c r="H11" s="76">
        <f>G11/15*4.5</f>
        <v>646.96499999999992</v>
      </c>
      <c r="I11" s="76">
        <f>H11</f>
        <v>646.96499999999992</v>
      </c>
      <c r="J11" s="76">
        <f>200</f>
        <v>200</v>
      </c>
      <c r="K11" s="76"/>
      <c r="L11" s="76">
        <f t="shared" si="2"/>
        <v>960.81</v>
      </c>
      <c r="M11" s="76">
        <v>190.88</v>
      </c>
      <c r="N11" s="76">
        <v>190.88</v>
      </c>
      <c r="O11" s="76"/>
      <c r="P11" s="76">
        <v>237.61</v>
      </c>
      <c r="Q11" s="76"/>
      <c r="R11" s="76"/>
      <c r="S11" s="76"/>
      <c r="T11" s="78">
        <f t="shared" si="0"/>
        <v>5230.6599999999989</v>
      </c>
      <c r="U11" s="90">
        <v>570.08000000000004</v>
      </c>
      <c r="V11" s="91">
        <v>44.28</v>
      </c>
      <c r="W11" s="91">
        <v>19.088200000000001</v>
      </c>
      <c r="X11" s="91"/>
      <c r="Y11" s="91"/>
      <c r="Z11" s="91"/>
      <c r="AA11" s="78">
        <f t="shared" si="1"/>
        <v>633.44820000000004</v>
      </c>
      <c r="AB11" s="78">
        <f t="shared" si="3"/>
        <v>4597.2117999999991</v>
      </c>
      <c r="AC11" s="80">
        <f>810.81</f>
        <v>810.81</v>
      </c>
      <c r="AD11" s="80">
        <v>150</v>
      </c>
    </row>
    <row r="12" spans="1:31" ht="12.6" customHeight="1" x14ac:dyDescent="0.3">
      <c r="A12" s="87" t="s">
        <v>14</v>
      </c>
      <c r="B12" s="73" t="s">
        <v>3</v>
      </c>
      <c r="C12" s="73" t="s">
        <v>17</v>
      </c>
      <c r="D12" s="73"/>
      <c r="E12" s="88">
        <v>21</v>
      </c>
      <c r="F12" s="93" t="s">
        <v>18</v>
      </c>
      <c r="G12" s="76">
        <v>2680.19</v>
      </c>
      <c r="H12" s="76"/>
      <c r="I12" s="76"/>
      <c r="J12" s="76">
        <v>90.53</v>
      </c>
      <c r="K12" s="76"/>
      <c r="L12" s="76">
        <f t="shared" si="2"/>
        <v>2216</v>
      </c>
      <c r="M12" s="76">
        <v>133.56</v>
      </c>
      <c r="N12" s="76">
        <v>133.56</v>
      </c>
      <c r="O12" s="76"/>
      <c r="P12" s="76">
        <v>106.92</v>
      </c>
      <c r="Q12" s="76"/>
      <c r="R12" s="76"/>
      <c r="S12" s="76"/>
      <c r="T12" s="78">
        <f t="shared" si="0"/>
        <v>5360.7600000000011</v>
      </c>
      <c r="U12" s="90">
        <v>597.87</v>
      </c>
      <c r="V12" s="91">
        <v>60.17</v>
      </c>
      <c r="W12" s="91">
        <v>22.26</v>
      </c>
      <c r="X12" s="91"/>
      <c r="Y12" s="91">
        <v>664.51</v>
      </c>
      <c r="Z12" s="91"/>
      <c r="AA12" s="78">
        <f t="shared" si="1"/>
        <v>1344.81</v>
      </c>
      <c r="AB12" s="78">
        <f t="shared" si="3"/>
        <v>4015.9500000000012</v>
      </c>
      <c r="AC12" s="80">
        <v>666</v>
      </c>
      <c r="AD12" s="80">
        <f>150*9+200</f>
        <v>1550</v>
      </c>
    </row>
    <row r="13" spans="1:31" ht="12.6" customHeight="1" x14ac:dyDescent="0.3">
      <c r="A13" s="87" t="s">
        <v>14</v>
      </c>
      <c r="B13" s="73" t="s">
        <v>3</v>
      </c>
      <c r="C13" s="73" t="s">
        <v>15</v>
      </c>
      <c r="D13" s="73"/>
      <c r="E13" s="88">
        <v>51</v>
      </c>
      <c r="F13" s="94" t="s">
        <v>19</v>
      </c>
      <c r="G13" s="76">
        <f>1956.04</f>
        <v>1956.04</v>
      </c>
      <c r="H13" s="76"/>
      <c r="I13" s="76">
        <f>H13</f>
        <v>0</v>
      </c>
      <c r="J13" s="76">
        <v>191.29</v>
      </c>
      <c r="K13" s="76"/>
      <c r="L13" s="76">
        <f t="shared" si="2"/>
        <v>2580</v>
      </c>
      <c r="M13" s="76">
        <v>86.36</v>
      </c>
      <c r="N13" s="76">
        <v>86.36</v>
      </c>
      <c r="O13" s="76"/>
      <c r="P13" s="76">
        <v>106.92</v>
      </c>
      <c r="Q13" s="76"/>
      <c r="R13" s="76"/>
      <c r="S13" s="76"/>
      <c r="T13" s="78">
        <f t="shared" si="0"/>
        <v>5006.9699999999993</v>
      </c>
      <c r="U13" s="90">
        <v>524.75</v>
      </c>
      <c r="V13" s="91">
        <v>35.729999999999997</v>
      </c>
      <c r="W13" s="91">
        <v>10.06</v>
      </c>
      <c r="X13" s="91">
        <v>0</v>
      </c>
      <c r="Y13" s="91"/>
      <c r="Z13" s="91">
        <v>649.38</v>
      </c>
      <c r="AA13" s="78">
        <f t="shared" si="1"/>
        <v>1219.92</v>
      </c>
      <c r="AB13" s="78">
        <f t="shared" si="3"/>
        <v>3787.0499999999993</v>
      </c>
      <c r="AC13" s="80">
        <v>1530</v>
      </c>
      <c r="AD13" s="80">
        <f>150*7</f>
        <v>1050</v>
      </c>
    </row>
    <row r="14" spans="1:31" ht="12.6" customHeight="1" x14ac:dyDescent="0.3">
      <c r="A14" s="95" t="s">
        <v>14</v>
      </c>
      <c r="B14" s="73" t="s">
        <v>20</v>
      </c>
      <c r="C14" s="73" t="s">
        <v>17</v>
      </c>
      <c r="D14" s="73"/>
      <c r="E14" s="96">
        <v>112</v>
      </c>
      <c r="F14" s="93" t="s">
        <v>21</v>
      </c>
      <c r="G14" s="97">
        <v>1793.37</v>
      </c>
      <c r="H14" s="97"/>
      <c r="I14" s="76">
        <f t="shared" ref="I14" si="5">H14</f>
        <v>0</v>
      </c>
      <c r="J14" s="97" t="s">
        <v>276</v>
      </c>
      <c r="K14" s="76"/>
      <c r="L14" s="76">
        <f t="shared" si="2"/>
        <v>1074</v>
      </c>
      <c r="M14" s="97">
        <v>172.44</v>
      </c>
      <c r="N14" s="97">
        <v>172.44</v>
      </c>
      <c r="O14" s="76"/>
      <c r="P14" s="97">
        <v>106.92</v>
      </c>
      <c r="Q14" s="97"/>
      <c r="R14" s="97"/>
      <c r="S14" s="97"/>
      <c r="T14" s="78">
        <f t="shared" si="0"/>
        <v>3319.17</v>
      </c>
      <c r="U14" s="98">
        <v>131.94</v>
      </c>
      <c r="V14" s="99">
        <v>42.82</v>
      </c>
      <c r="W14" s="99"/>
      <c r="X14" s="99"/>
      <c r="Y14" s="99"/>
      <c r="Z14" s="99">
        <v>759.4</v>
      </c>
      <c r="AA14" s="78">
        <f t="shared" si="1"/>
        <v>934.16</v>
      </c>
      <c r="AB14" s="78">
        <f t="shared" si="3"/>
        <v>2385.0100000000002</v>
      </c>
      <c r="AC14" s="100">
        <v>174</v>
      </c>
      <c r="AD14" s="80">
        <f>6*150</f>
        <v>900</v>
      </c>
      <c r="AE14" s="101"/>
    </row>
    <row r="15" spans="1:31" ht="12.6" customHeight="1" x14ac:dyDescent="0.3">
      <c r="A15" s="95" t="s">
        <v>14</v>
      </c>
      <c r="B15" s="73" t="s">
        <v>3</v>
      </c>
      <c r="C15" s="73" t="s">
        <v>17</v>
      </c>
      <c r="D15" s="73"/>
      <c r="E15" s="96">
        <v>118</v>
      </c>
      <c r="F15" s="93" t="s">
        <v>22</v>
      </c>
      <c r="G15" s="97">
        <v>1468.53</v>
      </c>
      <c r="H15" s="97"/>
      <c r="I15" s="76"/>
      <c r="J15" s="97">
        <v>90.53</v>
      </c>
      <c r="K15" s="76"/>
      <c r="L15" s="76">
        <f t="shared" si="2"/>
        <v>1150</v>
      </c>
      <c r="M15" s="97">
        <v>121.34</v>
      </c>
      <c r="N15" s="97">
        <v>121.34</v>
      </c>
      <c r="O15" s="97"/>
      <c r="P15" s="97">
        <v>100.6</v>
      </c>
      <c r="Q15" s="97"/>
      <c r="R15" s="97"/>
      <c r="S15" s="97"/>
      <c r="T15" s="78">
        <f t="shared" si="0"/>
        <v>3052.34</v>
      </c>
      <c r="U15" s="98">
        <v>82.66</v>
      </c>
      <c r="V15" s="99">
        <v>30.13</v>
      </c>
      <c r="W15" s="99">
        <v>12.13</v>
      </c>
      <c r="X15" s="102"/>
      <c r="Y15" s="102"/>
      <c r="Z15" s="99"/>
      <c r="AA15" s="78">
        <f t="shared" si="1"/>
        <v>124.91999999999999</v>
      </c>
      <c r="AB15" s="78">
        <f t="shared" si="3"/>
        <v>2927.42</v>
      </c>
      <c r="AC15" s="103">
        <v>700</v>
      </c>
      <c r="AD15" s="80">
        <v>450</v>
      </c>
    </row>
    <row r="16" spans="1:31" ht="12.6" customHeight="1" x14ac:dyDescent="0.3">
      <c r="A16" s="87" t="s">
        <v>24</v>
      </c>
      <c r="B16" s="73" t="s">
        <v>20</v>
      </c>
      <c r="C16" s="73" t="s">
        <v>25</v>
      </c>
      <c r="D16" s="73"/>
      <c r="E16" s="88">
        <v>5</v>
      </c>
      <c r="F16" s="92" t="s">
        <v>26</v>
      </c>
      <c r="G16" s="76">
        <v>957.21</v>
      </c>
      <c r="H16" s="76"/>
      <c r="I16" s="76"/>
      <c r="J16" s="76">
        <v>82.3</v>
      </c>
      <c r="K16" s="76"/>
      <c r="L16" s="76">
        <f t="shared" si="2"/>
        <v>224.36</v>
      </c>
      <c r="M16" s="76">
        <v>55.22</v>
      </c>
      <c r="N16" s="76">
        <v>55.22</v>
      </c>
      <c r="O16" s="76">
        <f>G16/15</f>
        <v>63.814</v>
      </c>
      <c r="P16" s="76">
        <v>97.2</v>
      </c>
      <c r="Q16" s="76">
        <v>106.32</v>
      </c>
      <c r="R16" s="76"/>
      <c r="S16" s="76"/>
      <c r="T16" s="78">
        <f t="shared" ref="T16:T28" si="6">SUM(G16:S16)</f>
        <v>1641.644</v>
      </c>
      <c r="U16" s="108"/>
      <c r="V16" s="91">
        <v>22.84</v>
      </c>
      <c r="W16" s="91"/>
      <c r="X16" s="91"/>
      <c r="Y16" s="91"/>
      <c r="Z16" s="91"/>
      <c r="AA16" s="78">
        <f t="shared" ref="AA16:AA28" si="7">SUM(U16:Z16)</f>
        <v>22.84</v>
      </c>
      <c r="AB16" s="78">
        <f t="shared" si="3"/>
        <v>1618.8040000000001</v>
      </c>
      <c r="AC16" s="80">
        <v>224.36</v>
      </c>
      <c r="AD16" s="80"/>
    </row>
    <row r="17" spans="1:30" ht="12.6" customHeight="1" x14ac:dyDescent="0.3">
      <c r="A17" s="87" t="s">
        <v>24</v>
      </c>
      <c r="B17" s="73" t="s">
        <v>20</v>
      </c>
      <c r="C17" s="73" t="s">
        <v>25</v>
      </c>
      <c r="D17" s="73"/>
      <c r="E17" s="88">
        <v>6</v>
      </c>
      <c r="F17" s="92" t="s">
        <v>27</v>
      </c>
      <c r="G17" s="76">
        <v>2121.44</v>
      </c>
      <c r="H17" s="76"/>
      <c r="I17" s="76">
        <f t="shared" ref="I17:I28" si="8">H17</f>
        <v>0</v>
      </c>
      <c r="J17" s="76">
        <v>188.44</v>
      </c>
      <c r="K17" s="76"/>
      <c r="L17" s="76">
        <f t="shared" si="2"/>
        <v>207.28</v>
      </c>
      <c r="M17" s="76">
        <v>122.39</v>
      </c>
      <c r="N17" s="76">
        <v>122.39</v>
      </c>
      <c r="O17" s="76"/>
      <c r="P17" s="76">
        <v>97.2</v>
      </c>
      <c r="Q17" s="76"/>
      <c r="R17" s="76"/>
      <c r="S17" s="76"/>
      <c r="T17" s="78">
        <f t="shared" si="6"/>
        <v>2859.14</v>
      </c>
      <c r="U17" s="90">
        <v>61.64</v>
      </c>
      <c r="V17" s="91">
        <v>51.68</v>
      </c>
      <c r="W17" s="91"/>
      <c r="X17" s="91"/>
      <c r="Y17" s="91"/>
      <c r="Z17" s="91">
        <v>586.33000000000004</v>
      </c>
      <c r="AA17" s="78">
        <f t="shared" si="7"/>
        <v>699.65000000000009</v>
      </c>
      <c r="AB17" s="78">
        <f t="shared" si="3"/>
        <v>2159.4899999999998</v>
      </c>
      <c r="AC17" s="80">
        <v>207.28</v>
      </c>
      <c r="AD17" s="80"/>
    </row>
    <row r="18" spans="1:30" ht="12.6" customHeight="1" x14ac:dyDescent="0.25">
      <c r="A18" s="87" t="s">
        <v>24</v>
      </c>
      <c r="B18" s="73" t="s">
        <v>3</v>
      </c>
      <c r="C18" s="73" t="s">
        <v>28</v>
      </c>
      <c r="D18" s="73"/>
      <c r="E18" s="88">
        <v>24</v>
      </c>
      <c r="F18" s="93" t="s">
        <v>29</v>
      </c>
      <c r="G18" s="76">
        <v>4006.16</v>
      </c>
      <c r="H18" s="76">
        <f>G18/15</f>
        <v>267.07733333333334</v>
      </c>
      <c r="I18" s="76">
        <f t="shared" si="8"/>
        <v>267.07733333333334</v>
      </c>
      <c r="J18" s="76" t="s">
        <v>274</v>
      </c>
      <c r="K18" s="76"/>
      <c r="L18" s="76">
        <f t="shared" si="2"/>
        <v>1095</v>
      </c>
      <c r="M18" s="76" t="s">
        <v>274</v>
      </c>
      <c r="N18" s="76" t="s">
        <v>274</v>
      </c>
      <c r="O18" s="76"/>
      <c r="P18" s="76" t="s">
        <v>274</v>
      </c>
      <c r="Q18" s="76"/>
      <c r="R18" s="104"/>
      <c r="S18" s="105"/>
      <c r="T18" s="78">
        <f t="shared" si="6"/>
        <v>5635.3146666666671</v>
      </c>
      <c r="U18" s="90">
        <v>656.51</v>
      </c>
      <c r="V18" s="91">
        <v>111.49</v>
      </c>
      <c r="W18" s="91">
        <v>40.369999999999997</v>
      </c>
      <c r="X18" s="91"/>
      <c r="Y18" s="91"/>
      <c r="Z18" s="91"/>
      <c r="AA18" s="78">
        <f t="shared" si="7"/>
        <v>808.37</v>
      </c>
      <c r="AB18" s="78">
        <f t="shared" si="3"/>
        <v>4826.9446666666672</v>
      </c>
      <c r="AC18" s="80">
        <v>1095</v>
      </c>
      <c r="AD18" s="80"/>
    </row>
    <row r="19" spans="1:30" ht="12.6" customHeight="1" x14ac:dyDescent="0.3">
      <c r="A19" s="87" t="s">
        <v>24</v>
      </c>
      <c r="B19" s="73" t="s">
        <v>3</v>
      </c>
      <c r="C19" s="73" t="s">
        <v>30</v>
      </c>
      <c r="D19" s="73"/>
      <c r="E19" s="88">
        <v>25</v>
      </c>
      <c r="F19" s="93" t="s">
        <v>31</v>
      </c>
      <c r="G19" s="76">
        <v>2712.3399999999997</v>
      </c>
      <c r="H19" s="76"/>
      <c r="I19" s="76">
        <f t="shared" si="8"/>
        <v>0</v>
      </c>
      <c r="J19" s="76">
        <v>182.34</v>
      </c>
      <c r="K19" s="76"/>
      <c r="L19" s="76">
        <f t="shared" si="2"/>
        <v>150</v>
      </c>
      <c r="M19" s="76">
        <v>139.51</v>
      </c>
      <c r="N19" s="76">
        <v>139.51</v>
      </c>
      <c r="O19" s="76">
        <f t="shared" ref="O19:O28" si="9">G19/15</f>
        <v>180.82266666666663</v>
      </c>
      <c r="P19" s="76">
        <v>106.92</v>
      </c>
      <c r="Q19" s="76"/>
      <c r="R19" s="76"/>
      <c r="S19" s="76"/>
      <c r="T19" s="78">
        <f t="shared" si="6"/>
        <v>3611.4426666666664</v>
      </c>
      <c r="U19" s="90">
        <v>181.44</v>
      </c>
      <c r="V19" s="91">
        <v>64.709999999999994</v>
      </c>
      <c r="W19" s="91">
        <v>23.25</v>
      </c>
      <c r="X19" s="91"/>
      <c r="Y19" s="91"/>
      <c r="Z19" s="91"/>
      <c r="AA19" s="78">
        <f t="shared" si="7"/>
        <v>269.39999999999998</v>
      </c>
      <c r="AB19" s="78">
        <f t="shared" si="3"/>
        <v>3342.0426666666663</v>
      </c>
      <c r="AC19" s="80">
        <f>150</f>
        <v>150</v>
      </c>
      <c r="AD19" s="80"/>
    </row>
    <row r="20" spans="1:30" ht="12.6" customHeight="1" x14ac:dyDescent="0.3">
      <c r="A20" s="87" t="s">
        <v>24</v>
      </c>
      <c r="B20" s="73" t="s">
        <v>3</v>
      </c>
      <c r="C20" s="73" t="s">
        <v>30</v>
      </c>
      <c r="D20" s="73"/>
      <c r="E20" s="88">
        <v>27</v>
      </c>
      <c r="F20" s="92" t="s">
        <v>32</v>
      </c>
      <c r="G20" s="76">
        <v>1734.79</v>
      </c>
      <c r="H20" s="76">
        <f>G20/15*1.5</f>
        <v>173.47899999999998</v>
      </c>
      <c r="I20" s="76">
        <f t="shared" si="8"/>
        <v>173.47899999999998</v>
      </c>
      <c r="J20" s="76">
        <v>99.51</v>
      </c>
      <c r="K20" s="76"/>
      <c r="L20" s="76">
        <f t="shared" si="2"/>
        <v>1130.6100000000001</v>
      </c>
      <c r="M20" s="76">
        <v>85.38</v>
      </c>
      <c r="N20" s="76">
        <v>85.38</v>
      </c>
      <c r="O20" s="76">
        <f t="shared" si="9"/>
        <v>115.65266666666666</v>
      </c>
      <c r="P20" s="76">
        <v>106.92</v>
      </c>
      <c r="Q20" s="76"/>
      <c r="R20" s="76"/>
      <c r="S20" s="76">
        <f>Q20*0.28</f>
        <v>0</v>
      </c>
      <c r="T20" s="78">
        <f t="shared" si="6"/>
        <v>3705.2006666666675</v>
      </c>
      <c r="U20" s="90">
        <v>301.92</v>
      </c>
      <c r="V20" s="91">
        <v>35.33</v>
      </c>
      <c r="W20" s="91">
        <v>14.23</v>
      </c>
      <c r="X20" s="91"/>
      <c r="Y20" s="91"/>
      <c r="Z20" s="91">
        <v>337.86</v>
      </c>
      <c r="AA20" s="78">
        <f t="shared" si="7"/>
        <v>689.34</v>
      </c>
      <c r="AB20" s="78">
        <f t="shared" si="3"/>
        <v>3015.8606666666674</v>
      </c>
      <c r="AC20" s="80">
        <v>930.61</v>
      </c>
      <c r="AD20" s="80">
        <v>200</v>
      </c>
    </row>
    <row r="21" spans="1:30" ht="12.6" customHeight="1" x14ac:dyDescent="0.3">
      <c r="A21" s="87" t="s">
        <v>24</v>
      </c>
      <c r="B21" s="73" t="s">
        <v>20</v>
      </c>
      <c r="C21" s="73" t="s">
        <v>33</v>
      </c>
      <c r="D21" s="73"/>
      <c r="E21" s="88">
        <v>32</v>
      </c>
      <c r="F21" s="92" t="s">
        <v>34</v>
      </c>
      <c r="G21" s="76">
        <v>2990.83</v>
      </c>
      <c r="H21" s="76"/>
      <c r="I21" s="76">
        <f t="shared" si="8"/>
        <v>0</v>
      </c>
      <c r="J21" s="76">
        <v>261.72000000000003</v>
      </c>
      <c r="K21" s="76"/>
      <c r="L21" s="76">
        <f t="shared" si="2"/>
        <v>864.83</v>
      </c>
      <c r="M21" s="76">
        <v>299.08</v>
      </c>
      <c r="N21" s="76">
        <v>299.08</v>
      </c>
      <c r="O21" s="76"/>
      <c r="P21" s="76">
        <v>194.4</v>
      </c>
      <c r="Q21" s="76"/>
      <c r="R21" s="76"/>
      <c r="S21" s="76"/>
      <c r="T21" s="78">
        <f t="shared" si="6"/>
        <v>4909.9399999999996</v>
      </c>
      <c r="U21" s="90">
        <v>507.37</v>
      </c>
      <c r="V21" s="91">
        <v>89.89</v>
      </c>
      <c r="W21" s="91"/>
      <c r="X21" s="91"/>
      <c r="Y21" s="91"/>
      <c r="Z21" s="91"/>
      <c r="AA21" s="78">
        <f t="shared" si="7"/>
        <v>597.26</v>
      </c>
      <c r="AB21" s="78">
        <f t="shared" si="3"/>
        <v>4312.6799999999994</v>
      </c>
      <c r="AC21" s="80">
        <v>864.83</v>
      </c>
      <c r="AD21" s="80"/>
    </row>
    <row r="22" spans="1:30" ht="12.6" customHeight="1" x14ac:dyDescent="0.3">
      <c r="A22" s="87" t="s">
        <v>24</v>
      </c>
      <c r="B22" s="73" t="s">
        <v>3</v>
      </c>
      <c r="C22" s="73" t="s">
        <v>30</v>
      </c>
      <c r="D22" s="73"/>
      <c r="E22" s="88">
        <v>57</v>
      </c>
      <c r="F22" s="92" t="s">
        <v>35</v>
      </c>
      <c r="G22" s="76">
        <v>1739.5</v>
      </c>
      <c r="H22" s="76"/>
      <c r="I22" s="76">
        <f t="shared" si="8"/>
        <v>0</v>
      </c>
      <c r="J22" s="76">
        <f>200</f>
        <v>200</v>
      </c>
      <c r="K22" s="76"/>
      <c r="L22" s="76">
        <f t="shared" si="2"/>
        <v>0</v>
      </c>
      <c r="M22" s="76">
        <v>78.25</v>
      </c>
      <c r="N22" s="76">
        <v>78.25</v>
      </c>
      <c r="O22" s="76"/>
      <c r="P22" s="76">
        <v>106.92</v>
      </c>
      <c r="Q22" s="76">
        <v>38.65</v>
      </c>
      <c r="R22" s="76"/>
      <c r="S22" s="76"/>
      <c r="T22" s="78">
        <f t="shared" si="6"/>
        <v>2241.5700000000002</v>
      </c>
      <c r="U22" s="90"/>
      <c r="V22" s="91">
        <v>32.369999999999997</v>
      </c>
      <c r="W22" s="91">
        <v>13.04</v>
      </c>
      <c r="X22" s="91"/>
      <c r="Y22" s="91"/>
      <c r="Z22" s="91">
        <v>402.61</v>
      </c>
      <c r="AA22" s="78">
        <f t="shared" si="7"/>
        <v>448.02</v>
      </c>
      <c r="AB22" s="78">
        <f t="shared" si="3"/>
        <v>1793.5500000000002</v>
      </c>
      <c r="AC22" s="100"/>
      <c r="AD22" s="100"/>
    </row>
    <row r="23" spans="1:30" ht="12.6" customHeight="1" x14ac:dyDescent="0.3">
      <c r="A23" s="87" t="s">
        <v>24</v>
      </c>
      <c r="B23" s="73" t="s">
        <v>3</v>
      </c>
      <c r="C23" s="73" t="s">
        <v>30</v>
      </c>
      <c r="D23" s="73"/>
      <c r="E23" s="88">
        <v>64</v>
      </c>
      <c r="F23" s="92" t="s">
        <v>36</v>
      </c>
      <c r="G23" s="76">
        <f>3385.17</f>
        <v>3385.17</v>
      </c>
      <c r="H23" s="76"/>
      <c r="I23" s="76">
        <f t="shared" si="8"/>
        <v>0</v>
      </c>
      <c r="J23" s="76">
        <v>90.53</v>
      </c>
      <c r="K23" s="76"/>
      <c r="L23" s="76">
        <f t="shared" si="2"/>
        <v>88.85</v>
      </c>
      <c r="M23" s="76">
        <v>175.86</v>
      </c>
      <c r="N23" s="76">
        <v>175.86</v>
      </c>
      <c r="O23" s="76">
        <f t="shared" si="9"/>
        <v>225.678</v>
      </c>
      <c r="P23" s="76">
        <v>99</v>
      </c>
      <c r="Q23" s="76"/>
      <c r="R23" s="76"/>
      <c r="S23" s="76"/>
      <c r="T23" s="78">
        <f t="shared" si="6"/>
        <v>4240.9480000000003</v>
      </c>
      <c r="U23" s="90">
        <v>387.64</v>
      </c>
      <c r="V23" s="91">
        <v>92.41</v>
      </c>
      <c r="W23" s="91">
        <v>29.31</v>
      </c>
      <c r="X23" s="91"/>
      <c r="Y23" s="91"/>
      <c r="Z23" s="91">
        <v>649.38</v>
      </c>
      <c r="AA23" s="78">
        <f t="shared" si="7"/>
        <v>1158.74</v>
      </c>
      <c r="AB23" s="78">
        <f t="shared" si="3"/>
        <v>3082.2080000000005</v>
      </c>
      <c r="AC23" s="80">
        <f>88.85</f>
        <v>88.85</v>
      </c>
      <c r="AD23" s="80"/>
    </row>
    <row r="24" spans="1:30" ht="12.6" customHeight="1" x14ac:dyDescent="0.3">
      <c r="A24" s="87" t="s">
        <v>24</v>
      </c>
      <c r="B24" s="73" t="s">
        <v>20</v>
      </c>
      <c r="C24" s="73" t="s">
        <v>25</v>
      </c>
      <c r="D24" s="73"/>
      <c r="E24" s="88">
        <v>69</v>
      </c>
      <c r="F24" s="92" t="s">
        <v>37</v>
      </c>
      <c r="G24" s="76">
        <v>2126.12</v>
      </c>
      <c r="H24" s="76">
        <f>G24/15*2</f>
        <v>283.48266666666666</v>
      </c>
      <c r="I24" s="76">
        <f t="shared" si="8"/>
        <v>283.48266666666666</v>
      </c>
      <c r="J24" s="76">
        <v>188.44</v>
      </c>
      <c r="K24" s="76"/>
      <c r="L24" s="76">
        <f t="shared" si="2"/>
        <v>207.28</v>
      </c>
      <c r="M24" s="76">
        <v>122.66</v>
      </c>
      <c r="N24" s="76">
        <v>122.66</v>
      </c>
      <c r="O24" s="76">
        <f t="shared" si="9"/>
        <v>141.74133333333333</v>
      </c>
      <c r="P24" s="76">
        <v>97.2</v>
      </c>
      <c r="Q24" s="76"/>
      <c r="R24" s="76"/>
      <c r="S24" s="76">
        <f>Q24*0.25</f>
        <v>0</v>
      </c>
      <c r="T24" s="78">
        <f t="shared" si="6"/>
        <v>3573.0666666666666</v>
      </c>
      <c r="U24" s="90">
        <v>177.27</v>
      </c>
      <c r="V24" s="91">
        <v>51.86</v>
      </c>
      <c r="W24" s="91"/>
      <c r="X24" s="91"/>
      <c r="Y24" s="91"/>
      <c r="Z24" s="91"/>
      <c r="AA24" s="78">
        <f t="shared" si="7"/>
        <v>229.13</v>
      </c>
      <c r="AB24" s="78">
        <f t="shared" si="3"/>
        <v>3343.9366666666665</v>
      </c>
      <c r="AC24" s="100">
        <v>207.28</v>
      </c>
      <c r="AD24" s="100"/>
    </row>
    <row r="25" spans="1:30" ht="12.6" customHeight="1" x14ac:dyDescent="0.3">
      <c r="A25" s="87" t="s">
        <v>24</v>
      </c>
      <c r="B25" s="73" t="s">
        <v>3</v>
      </c>
      <c r="C25" s="73" t="s">
        <v>15</v>
      </c>
      <c r="D25" s="73"/>
      <c r="E25" s="88">
        <v>81</v>
      </c>
      <c r="F25" s="92" t="s">
        <v>38</v>
      </c>
      <c r="G25" s="76">
        <v>2549.1999999999998</v>
      </c>
      <c r="H25" s="76"/>
      <c r="I25" s="76">
        <f t="shared" si="8"/>
        <v>0</v>
      </c>
      <c r="J25" s="76">
        <v>166.21</v>
      </c>
      <c r="K25" s="76"/>
      <c r="L25" s="76">
        <f t="shared" si="2"/>
        <v>222.31</v>
      </c>
      <c r="M25" s="76">
        <v>206.9</v>
      </c>
      <c r="N25" s="76">
        <v>206.9</v>
      </c>
      <c r="O25" s="76">
        <f t="shared" si="9"/>
        <v>169.94666666666666</v>
      </c>
      <c r="P25" s="76">
        <v>194.4</v>
      </c>
      <c r="Q25" s="76"/>
      <c r="R25" s="76"/>
      <c r="S25" s="76"/>
      <c r="T25" s="78">
        <f t="shared" si="6"/>
        <v>3715.8666666666668</v>
      </c>
      <c r="U25" s="90">
        <v>303.63</v>
      </c>
      <c r="V25" s="91">
        <v>53</v>
      </c>
      <c r="W25" s="91">
        <v>20.69</v>
      </c>
      <c r="X25" s="91"/>
      <c r="Y25" s="91">
        <v>722.47</v>
      </c>
      <c r="Z25" s="91"/>
      <c r="AA25" s="78">
        <f t="shared" si="7"/>
        <v>1099.79</v>
      </c>
      <c r="AB25" s="78">
        <f t="shared" si="3"/>
        <v>2616.0766666666668</v>
      </c>
      <c r="AC25" s="80">
        <f>222.31</f>
        <v>222.31</v>
      </c>
      <c r="AD25" s="80"/>
    </row>
    <row r="26" spans="1:30" ht="12.6" customHeight="1" x14ac:dyDescent="0.3">
      <c r="A26" s="87" t="s">
        <v>24</v>
      </c>
      <c r="B26" s="73" t="s">
        <v>20</v>
      </c>
      <c r="C26" s="73" t="s">
        <v>39</v>
      </c>
      <c r="D26" s="73"/>
      <c r="E26" s="88">
        <v>106</v>
      </c>
      <c r="F26" s="92" t="s">
        <v>40</v>
      </c>
      <c r="G26" s="76">
        <v>5719.9</v>
      </c>
      <c r="H26" s="76">
        <f>G26/15/8*5</f>
        <v>238.32916666666665</v>
      </c>
      <c r="I26" s="76">
        <f t="shared" si="8"/>
        <v>238.32916666666665</v>
      </c>
      <c r="J26" s="76" t="s">
        <v>274</v>
      </c>
      <c r="K26" s="76"/>
      <c r="L26" s="76">
        <f t="shared" si="2"/>
        <v>4100</v>
      </c>
      <c r="M26" s="76" t="s">
        <v>274</v>
      </c>
      <c r="N26" s="76" t="s">
        <v>274</v>
      </c>
      <c r="O26" s="76">
        <f>G26/15*2</f>
        <v>762.65333333333331</v>
      </c>
      <c r="P26" s="76">
        <v>198.01</v>
      </c>
      <c r="Q26" s="76"/>
      <c r="R26" s="76">
        <f>G26/15*5</f>
        <v>1906.6333333333332</v>
      </c>
      <c r="S26" s="76">
        <f>R26*0.25</f>
        <v>476.6583333333333</v>
      </c>
      <c r="T26" s="78">
        <f t="shared" si="6"/>
        <v>13640.513333333332</v>
      </c>
      <c r="U26" s="90">
        <v>2439.56</v>
      </c>
      <c r="V26" s="91">
        <v>198.99</v>
      </c>
      <c r="W26" s="91"/>
      <c r="X26" s="91"/>
      <c r="Y26" s="91">
        <v>1240.3399999999999</v>
      </c>
      <c r="Z26" s="91"/>
      <c r="AA26" s="78">
        <f t="shared" si="7"/>
        <v>3878.8900000000003</v>
      </c>
      <c r="AB26" s="78">
        <f t="shared" si="3"/>
        <v>9761.623333333333</v>
      </c>
      <c r="AC26" s="80">
        <v>4100</v>
      </c>
      <c r="AD26" s="80"/>
    </row>
    <row r="27" spans="1:30" ht="12.6" customHeight="1" x14ac:dyDescent="0.3">
      <c r="A27" s="87" t="s">
        <v>24</v>
      </c>
      <c r="B27" s="73" t="s">
        <v>3</v>
      </c>
      <c r="C27" s="73" t="s">
        <v>30</v>
      </c>
      <c r="D27" s="73"/>
      <c r="E27" s="88">
        <v>108</v>
      </c>
      <c r="F27" s="92" t="s">
        <v>41</v>
      </c>
      <c r="G27" s="76">
        <v>1917.3400000000001</v>
      </c>
      <c r="H27" s="76"/>
      <c r="I27" s="76">
        <f t="shared" si="8"/>
        <v>0</v>
      </c>
      <c r="J27" s="76">
        <v>99.51</v>
      </c>
      <c r="K27" s="76"/>
      <c r="L27" s="76">
        <f t="shared" si="2"/>
        <v>970</v>
      </c>
      <c r="M27" s="76">
        <v>158.34</v>
      </c>
      <c r="N27" s="76">
        <v>158.34</v>
      </c>
      <c r="O27" s="76"/>
      <c r="P27" s="76">
        <v>106.92</v>
      </c>
      <c r="Q27" s="76"/>
      <c r="R27" s="76"/>
      <c r="S27" s="76"/>
      <c r="T27" s="78">
        <f t="shared" si="6"/>
        <v>3410.4500000000007</v>
      </c>
      <c r="U27" s="90">
        <v>141.87</v>
      </c>
      <c r="V27" s="91">
        <v>39.31</v>
      </c>
      <c r="W27" s="91">
        <v>15.83</v>
      </c>
      <c r="X27" s="91"/>
      <c r="Y27" s="91"/>
      <c r="Z27" s="91"/>
      <c r="AA27" s="78">
        <f t="shared" si="7"/>
        <v>197.01000000000002</v>
      </c>
      <c r="AB27" s="78">
        <f t="shared" si="3"/>
        <v>3213.4400000000005</v>
      </c>
      <c r="AC27" s="80">
        <v>970</v>
      </c>
      <c r="AD27" s="80"/>
    </row>
    <row r="28" spans="1:30" ht="12.6" customHeight="1" x14ac:dyDescent="0.3">
      <c r="A28" s="87" t="s">
        <v>24</v>
      </c>
      <c r="B28" s="73" t="s">
        <v>3</v>
      </c>
      <c r="C28" s="73" t="s">
        <v>42</v>
      </c>
      <c r="D28" s="73"/>
      <c r="E28" s="88">
        <v>129</v>
      </c>
      <c r="F28" s="92" t="s">
        <v>43</v>
      </c>
      <c r="G28" s="76">
        <v>5885.07</v>
      </c>
      <c r="H28" s="76">
        <f>G28/15</f>
        <v>392.33799999999997</v>
      </c>
      <c r="I28" s="76">
        <f t="shared" si="8"/>
        <v>392.33799999999997</v>
      </c>
      <c r="J28" s="76">
        <v>0</v>
      </c>
      <c r="K28" s="76"/>
      <c r="L28" s="76">
        <f t="shared" si="2"/>
        <v>500</v>
      </c>
      <c r="M28" s="76">
        <v>399.39</v>
      </c>
      <c r="N28" s="76">
        <v>399.39</v>
      </c>
      <c r="O28" s="76">
        <f t="shared" si="9"/>
        <v>392.33799999999997</v>
      </c>
      <c r="P28" s="76">
        <v>100</v>
      </c>
      <c r="Q28" s="76"/>
      <c r="R28" s="76"/>
      <c r="S28" s="76"/>
      <c r="T28" s="78">
        <f t="shared" si="6"/>
        <v>8460.8639999999996</v>
      </c>
      <c r="U28" s="90">
        <v>1260.05</v>
      </c>
      <c r="V28" s="91">
        <v>141.01</v>
      </c>
      <c r="W28" s="91">
        <v>40</v>
      </c>
      <c r="X28" s="91"/>
      <c r="Y28" s="91"/>
      <c r="Z28" s="91"/>
      <c r="AA28" s="78">
        <f t="shared" si="7"/>
        <v>1441.06</v>
      </c>
      <c r="AB28" s="78">
        <f t="shared" si="3"/>
        <v>7019.8040000000001</v>
      </c>
      <c r="AC28" s="80">
        <v>500</v>
      </c>
      <c r="AD28" s="80"/>
    </row>
    <row r="29" spans="1:30" ht="10.5" customHeight="1" x14ac:dyDescent="0.3">
      <c r="A29" s="95" t="s">
        <v>44</v>
      </c>
      <c r="B29" s="73" t="s">
        <v>3</v>
      </c>
      <c r="C29" s="73" t="s">
        <v>45</v>
      </c>
      <c r="D29" s="73"/>
      <c r="E29" s="88">
        <v>42</v>
      </c>
      <c r="F29" s="93" t="s">
        <v>46</v>
      </c>
      <c r="G29" s="97">
        <v>1444.32</v>
      </c>
      <c r="H29" s="76"/>
      <c r="I29" s="76"/>
      <c r="J29" s="76">
        <v>82.3</v>
      </c>
      <c r="K29" s="76"/>
      <c r="L29" s="76">
        <v>541.12</v>
      </c>
      <c r="M29" s="76">
        <v>72.52</v>
      </c>
      <c r="N29" s="76">
        <v>72.52</v>
      </c>
      <c r="O29" s="107"/>
      <c r="P29" s="76">
        <v>106.92</v>
      </c>
      <c r="Q29" s="76">
        <v>9.19</v>
      </c>
      <c r="R29" s="91"/>
      <c r="S29" s="91"/>
      <c r="T29" s="78">
        <f t="shared" ref="T29:T35" si="10">SUM(G29:S29)</f>
        <v>2328.89</v>
      </c>
      <c r="U29" s="90"/>
      <c r="V29" s="91">
        <v>30.01</v>
      </c>
      <c r="W29" s="86">
        <v>12.08</v>
      </c>
      <c r="X29" s="91"/>
      <c r="Y29" s="91">
        <v>315.89999999999998</v>
      </c>
      <c r="Z29" s="78">
        <v>586.33000000000004</v>
      </c>
      <c r="AA29" s="78">
        <f>SUM(U29:Z29)</f>
        <v>944.32</v>
      </c>
      <c r="AB29" s="78">
        <f>T29-AA29</f>
        <v>1384.5699999999997</v>
      </c>
      <c r="AC29" s="80">
        <v>541.12</v>
      </c>
      <c r="AD29" s="80"/>
    </row>
    <row r="30" spans="1:30" ht="10.5" customHeight="1" x14ac:dyDescent="0.3">
      <c r="A30" s="95" t="s">
        <v>44</v>
      </c>
      <c r="B30" s="73" t="s">
        <v>3</v>
      </c>
      <c r="C30" s="73" t="s">
        <v>25</v>
      </c>
      <c r="D30" s="73"/>
      <c r="E30" s="88">
        <v>54</v>
      </c>
      <c r="F30" s="93" t="s">
        <v>47</v>
      </c>
      <c r="G30" s="97">
        <v>1453.03</v>
      </c>
      <c r="H30" s="76"/>
      <c r="I30" s="76"/>
      <c r="J30" s="76">
        <v>90.53</v>
      </c>
      <c r="K30" s="76"/>
      <c r="L30" s="76">
        <v>216</v>
      </c>
      <c r="M30" s="76">
        <v>74.09</v>
      </c>
      <c r="N30" s="76">
        <v>74.09</v>
      </c>
      <c r="O30" s="108">
        <v>193.73733333333334</v>
      </c>
      <c r="P30" s="76">
        <v>106.92</v>
      </c>
      <c r="Q30" s="76">
        <v>34.74</v>
      </c>
      <c r="R30" s="91"/>
      <c r="S30" s="91"/>
      <c r="T30" s="78">
        <f t="shared" si="10"/>
        <v>2243.1373333333331</v>
      </c>
      <c r="U30" s="90"/>
      <c r="V30" s="91">
        <v>30.66</v>
      </c>
      <c r="W30" s="91">
        <v>12.35</v>
      </c>
      <c r="X30" s="91"/>
      <c r="Y30" s="91"/>
      <c r="Z30" s="78"/>
      <c r="AA30" s="78">
        <f t="shared" ref="AA30:AA35" si="11">SUM(U30:Z30)</f>
        <v>43.01</v>
      </c>
      <c r="AB30" s="78">
        <f t="shared" ref="AB30:AB35" si="12">T30-AA30</f>
        <v>2200.1273333333329</v>
      </c>
      <c r="AC30" s="80">
        <v>216</v>
      </c>
      <c r="AD30" s="80"/>
    </row>
    <row r="31" spans="1:30" ht="10.5" customHeight="1" x14ac:dyDescent="0.3">
      <c r="A31" s="95" t="s">
        <v>44</v>
      </c>
      <c r="B31" s="73" t="s">
        <v>3</v>
      </c>
      <c r="C31" s="73" t="s">
        <v>30</v>
      </c>
      <c r="D31" s="73"/>
      <c r="E31" s="88">
        <v>59</v>
      </c>
      <c r="F31" s="93" t="s">
        <v>48</v>
      </c>
      <c r="G31" s="97">
        <v>1531.02</v>
      </c>
      <c r="H31" s="76"/>
      <c r="I31" s="76"/>
      <c r="J31" s="76">
        <v>105.16</v>
      </c>
      <c r="K31" s="76"/>
      <c r="L31" s="76">
        <v>87.29</v>
      </c>
      <c r="M31" s="76">
        <v>78.56</v>
      </c>
      <c r="N31" s="76">
        <v>78.56</v>
      </c>
      <c r="O31" s="107"/>
      <c r="P31" s="76">
        <v>106.92</v>
      </c>
      <c r="Q31" s="76">
        <v>68.12</v>
      </c>
      <c r="R31" s="91"/>
      <c r="S31" s="91"/>
      <c r="T31" s="78">
        <f t="shared" si="10"/>
        <v>2055.63</v>
      </c>
      <c r="U31" s="90"/>
      <c r="V31" s="91">
        <v>32.5</v>
      </c>
      <c r="W31" s="109">
        <v>13.09</v>
      </c>
      <c r="X31" s="91"/>
      <c r="Y31" s="91"/>
      <c r="Z31" s="78">
        <v>242.48</v>
      </c>
      <c r="AA31" s="78">
        <f t="shared" si="11"/>
        <v>288.07</v>
      </c>
      <c r="AB31" s="78">
        <f t="shared" si="12"/>
        <v>1767.5600000000002</v>
      </c>
      <c r="AC31" s="80">
        <v>87.29</v>
      </c>
      <c r="AD31" s="80"/>
    </row>
    <row r="32" spans="1:30" ht="10.5" customHeight="1" x14ac:dyDescent="0.25">
      <c r="A32" s="110" t="s">
        <v>44</v>
      </c>
      <c r="B32" s="73" t="s">
        <v>20</v>
      </c>
      <c r="C32" s="73" t="s">
        <v>30</v>
      </c>
      <c r="D32" s="73"/>
      <c r="E32" s="111">
        <v>61</v>
      </c>
      <c r="F32" s="112" t="s">
        <v>49</v>
      </c>
      <c r="G32" s="113">
        <v>992.21</v>
      </c>
      <c r="H32" s="108"/>
      <c r="I32" s="108"/>
      <c r="J32" s="108">
        <v>82.3</v>
      </c>
      <c r="K32" s="76"/>
      <c r="L32" s="76">
        <v>259.3</v>
      </c>
      <c r="M32" s="108">
        <v>55.64</v>
      </c>
      <c r="N32" s="108">
        <v>55.64</v>
      </c>
      <c r="O32" s="107"/>
      <c r="P32" s="108">
        <v>97.2</v>
      </c>
      <c r="Q32" s="108">
        <v>106.35</v>
      </c>
      <c r="R32" s="90"/>
      <c r="S32" s="90"/>
      <c r="T32" s="78">
        <f t="shared" si="10"/>
        <v>1648.64</v>
      </c>
      <c r="U32" s="90"/>
      <c r="V32" s="90">
        <v>23.01</v>
      </c>
      <c r="W32" s="109"/>
      <c r="X32" s="90"/>
      <c r="Y32" s="90"/>
      <c r="Z32" s="78"/>
      <c r="AA32" s="78">
        <f t="shared" si="11"/>
        <v>23.01</v>
      </c>
      <c r="AB32" s="78">
        <f t="shared" si="12"/>
        <v>1625.63</v>
      </c>
      <c r="AC32" s="114">
        <v>259.3</v>
      </c>
      <c r="AD32" s="114"/>
    </row>
    <row r="33" spans="1:30" ht="10.5" customHeight="1" x14ac:dyDescent="0.25">
      <c r="A33" s="95" t="s">
        <v>44</v>
      </c>
      <c r="B33" s="73" t="s">
        <v>3</v>
      </c>
      <c r="C33" s="73" t="s">
        <v>50</v>
      </c>
      <c r="D33" s="73"/>
      <c r="E33" s="88">
        <v>124</v>
      </c>
      <c r="F33" s="93" t="s">
        <v>51</v>
      </c>
      <c r="G33" s="97">
        <v>2801.83</v>
      </c>
      <c r="H33" s="76"/>
      <c r="I33" s="76"/>
      <c r="J33" s="76">
        <v>124</v>
      </c>
      <c r="K33" s="76"/>
      <c r="L33" s="76">
        <v>305</v>
      </c>
      <c r="M33" s="76">
        <v>239.18</v>
      </c>
      <c r="N33" s="76">
        <v>239.18</v>
      </c>
      <c r="O33" s="108">
        <v>373.57733333333334</v>
      </c>
      <c r="P33" s="76"/>
      <c r="Q33" s="76"/>
      <c r="R33" s="91"/>
      <c r="S33" s="91"/>
      <c r="T33" s="78">
        <f t="shared" si="10"/>
        <v>4082.7673333333328</v>
      </c>
      <c r="U33" s="90">
        <v>362.33</v>
      </c>
      <c r="V33" s="91">
        <v>67.739999999999995</v>
      </c>
      <c r="W33" s="109">
        <v>40</v>
      </c>
      <c r="X33" s="91"/>
      <c r="Y33" s="91"/>
      <c r="Z33" s="78">
        <v>674.38</v>
      </c>
      <c r="AA33" s="78">
        <f t="shared" si="11"/>
        <v>1144.45</v>
      </c>
      <c r="AB33" s="78">
        <f t="shared" si="12"/>
        <v>2938.3173333333325</v>
      </c>
      <c r="AC33" s="80">
        <v>305</v>
      </c>
      <c r="AD33" s="80"/>
    </row>
    <row r="34" spans="1:30" ht="10.5" customHeight="1" x14ac:dyDescent="0.25">
      <c r="A34" s="95" t="s">
        <v>44</v>
      </c>
      <c r="B34" s="73" t="s">
        <v>20</v>
      </c>
      <c r="C34" s="73" t="s">
        <v>52</v>
      </c>
      <c r="D34" s="73"/>
      <c r="E34" s="88">
        <v>126</v>
      </c>
      <c r="F34" s="93" t="s">
        <v>53</v>
      </c>
      <c r="G34" s="97">
        <v>2887.42</v>
      </c>
      <c r="H34" s="76"/>
      <c r="I34" s="76"/>
      <c r="J34" s="76">
        <v>124</v>
      </c>
      <c r="K34" s="76"/>
      <c r="L34" s="76">
        <v>305</v>
      </c>
      <c r="M34" s="76">
        <v>239.18</v>
      </c>
      <c r="N34" s="76">
        <v>239.18</v>
      </c>
      <c r="O34" s="108">
        <v>384.98933333333332</v>
      </c>
      <c r="P34" s="76"/>
      <c r="Q34" s="76"/>
      <c r="R34" s="91"/>
      <c r="S34" s="91"/>
      <c r="T34" s="78">
        <f t="shared" si="10"/>
        <v>4179.7693333333327</v>
      </c>
      <c r="U34" s="90">
        <v>377.85</v>
      </c>
      <c r="V34" s="91">
        <v>67.739999999999995</v>
      </c>
      <c r="W34" s="109"/>
      <c r="X34" s="91"/>
      <c r="Y34" s="91"/>
      <c r="Z34" s="78"/>
      <c r="AA34" s="78">
        <f t="shared" si="11"/>
        <v>445.59000000000003</v>
      </c>
      <c r="AB34" s="78">
        <f t="shared" si="12"/>
        <v>3734.1793333333326</v>
      </c>
      <c r="AC34" s="80">
        <v>305</v>
      </c>
      <c r="AD34" s="80"/>
    </row>
    <row r="35" spans="1:30" ht="10.5" customHeight="1" x14ac:dyDescent="0.25">
      <c r="A35" s="95" t="s">
        <v>44</v>
      </c>
      <c r="B35" s="73" t="s">
        <v>20</v>
      </c>
      <c r="C35" s="73" t="s">
        <v>52</v>
      </c>
      <c r="D35" s="73"/>
      <c r="E35" s="111">
        <v>116</v>
      </c>
      <c r="F35" s="115" t="s">
        <v>54</v>
      </c>
      <c r="G35" s="108">
        <v>2218.63</v>
      </c>
      <c r="H35" s="108"/>
      <c r="I35" s="108">
        <v>0</v>
      </c>
      <c r="J35" s="108"/>
      <c r="K35" s="76"/>
      <c r="L35" s="76">
        <v>305</v>
      </c>
      <c r="M35" s="108">
        <v>213.33</v>
      </c>
      <c r="N35" s="108">
        <v>213.33</v>
      </c>
      <c r="O35" s="108">
        <v>295.81733333333335</v>
      </c>
      <c r="P35" s="108">
        <v>97.21</v>
      </c>
      <c r="Q35" s="108"/>
      <c r="R35" s="90"/>
      <c r="S35" s="90"/>
      <c r="T35" s="78">
        <f t="shared" si="10"/>
        <v>3343.3173333333334</v>
      </c>
      <c r="U35" s="90">
        <v>134.57</v>
      </c>
      <c r="V35" s="90">
        <v>55.93</v>
      </c>
      <c r="W35" s="109"/>
      <c r="X35" s="90">
        <v>500</v>
      </c>
      <c r="Y35" s="90"/>
      <c r="Z35" s="78">
        <v>597.29999999999995</v>
      </c>
      <c r="AA35" s="78">
        <f t="shared" si="11"/>
        <v>1287.8</v>
      </c>
      <c r="AB35" s="78">
        <f t="shared" si="12"/>
        <v>2055.5173333333332</v>
      </c>
      <c r="AC35" s="80">
        <v>305</v>
      </c>
      <c r="AD35" s="80"/>
    </row>
    <row r="38" spans="1:30" x14ac:dyDescent="0.25">
      <c r="B38" s="106"/>
      <c r="C38" s="106"/>
      <c r="D38" s="106"/>
    </row>
  </sheetData>
  <pageMargins left="0.62992125984251968" right="3.937007874015748E-2" top="0.74803149606299213" bottom="0.74803149606299213" header="0.31496062992125984" footer="0.31496062992125984"/>
  <pageSetup paperSize="190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108"/>
  <sheetViews>
    <sheetView topLeftCell="E1" zoomScaleNormal="100" workbookViewId="0">
      <selection activeCell="G5" sqref="G5"/>
    </sheetView>
  </sheetViews>
  <sheetFormatPr baseColWidth="10" defaultRowHeight="15" x14ac:dyDescent="0.25"/>
  <cols>
    <col min="1" max="1" width="12.42578125" style="2" hidden="1" customWidth="1"/>
    <col min="2" max="2" width="10.85546875" style="2" hidden="1" customWidth="1"/>
    <col min="3" max="3" width="30.42578125" style="2" hidden="1" customWidth="1"/>
    <col min="4" max="4" width="13" style="2" hidden="1" customWidth="1"/>
    <col min="5" max="5" width="4.140625" style="2" bestFit="1" customWidth="1"/>
    <col min="6" max="6" width="30.140625" style="2" customWidth="1"/>
    <col min="7" max="7" width="6.28515625" style="43" customWidth="1"/>
    <col min="8" max="8" width="7.7109375" style="43" bestFit="1" customWidth="1"/>
    <col min="9" max="9" width="7.5703125" style="43" customWidth="1"/>
    <col min="10" max="10" width="7.28515625" style="43" customWidth="1"/>
    <col min="11" max="11" width="7.85546875" style="43" bestFit="1" customWidth="1"/>
    <col min="12" max="12" width="8.140625" style="43" customWidth="1"/>
    <col min="13" max="13" width="8.7109375" style="43" bestFit="1" customWidth="1"/>
    <col min="14" max="14" width="9.7109375" style="43" customWidth="1"/>
    <col min="15" max="15" width="9.85546875" style="43" customWidth="1"/>
    <col min="16" max="16" width="7" style="196" bestFit="1" customWidth="1"/>
    <col min="17" max="17" width="7.7109375" style="43" bestFit="1" customWidth="1"/>
    <col min="18" max="18" width="7" style="186" customWidth="1"/>
    <col min="19" max="19" width="7.5703125" style="186" bestFit="1" customWidth="1"/>
    <col min="20" max="21" width="7" style="43" bestFit="1" customWidth="1"/>
    <col min="22" max="22" width="9.7109375" style="43" customWidth="1"/>
    <col min="23" max="23" width="7.7109375" style="43" customWidth="1"/>
    <col min="24" max="24" width="13.140625" style="2" bestFit="1" customWidth="1"/>
    <col min="25" max="25" width="18" style="2" bestFit="1" customWidth="1"/>
    <col min="26" max="26" width="8.5703125" style="118" customWidth="1"/>
  </cols>
  <sheetData>
    <row r="1" spans="1:26" ht="8.25" customHeight="1" x14ac:dyDescent="0.3">
      <c r="A1" s="1"/>
      <c r="B1" s="1"/>
      <c r="C1" s="1"/>
      <c r="D1" s="1"/>
      <c r="F1" s="116"/>
      <c r="G1" s="116"/>
      <c r="H1" s="116"/>
      <c r="I1" s="117"/>
      <c r="J1" s="116" t="s">
        <v>277</v>
      </c>
      <c r="K1" s="116"/>
      <c r="L1" s="116"/>
      <c r="M1" s="116"/>
      <c r="N1" s="116"/>
      <c r="O1" s="116"/>
      <c r="P1" s="192"/>
      <c r="Q1" s="116"/>
      <c r="R1" s="116"/>
      <c r="S1" s="116"/>
      <c r="T1" s="116"/>
      <c r="U1" s="116"/>
      <c r="V1" s="116"/>
      <c r="W1" s="116"/>
      <c r="X1" s="116"/>
      <c r="Y1" s="116"/>
    </row>
    <row r="2" spans="1:26" ht="8.25" customHeight="1" x14ac:dyDescent="0.3">
      <c r="A2" s="1"/>
      <c r="B2" s="1"/>
      <c r="C2" s="1"/>
      <c r="D2" s="1"/>
      <c r="F2" s="116"/>
      <c r="G2" s="116"/>
      <c r="H2" s="116"/>
      <c r="I2" s="117"/>
      <c r="J2" s="116" t="s">
        <v>291</v>
      </c>
      <c r="K2" s="116"/>
      <c r="L2" s="116"/>
      <c r="M2" s="116"/>
      <c r="N2" s="116"/>
      <c r="O2" s="116"/>
      <c r="P2" s="192"/>
      <c r="Q2" s="116"/>
      <c r="R2" s="116"/>
      <c r="S2" s="116"/>
      <c r="T2" s="116"/>
      <c r="U2" s="116"/>
      <c r="V2" s="116"/>
      <c r="W2" s="116"/>
      <c r="X2" s="116"/>
      <c r="Y2" s="116"/>
    </row>
    <row r="3" spans="1:26" s="65" customFormat="1" ht="8.25" customHeight="1" thickBot="1" x14ac:dyDescent="0.35">
      <c r="A3" s="54"/>
      <c r="B3" s="54"/>
      <c r="C3" s="54"/>
      <c r="D3" s="54"/>
      <c r="E3" s="119"/>
      <c r="F3" s="119"/>
      <c r="G3" s="119"/>
      <c r="H3" s="119">
        <v>12201</v>
      </c>
      <c r="I3" s="119">
        <v>15404</v>
      </c>
      <c r="J3" s="119">
        <v>15406</v>
      </c>
      <c r="K3" s="119">
        <v>13301</v>
      </c>
      <c r="L3" s="119">
        <v>15901</v>
      </c>
      <c r="M3" s="119">
        <v>13204</v>
      </c>
      <c r="N3" s="119">
        <v>13204</v>
      </c>
      <c r="O3" s="119"/>
      <c r="P3" s="193">
        <v>2111.1</v>
      </c>
      <c r="Q3" s="121">
        <v>52010304</v>
      </c>
      <c r="R3" s="119">
        <v>52010102</v>
      </c>
      <c r="S3" s="119"/>
      <c r="T3" s="119">
        <v>52010305</v>
      </c>
      <c r="U3" s="122">
        <v>52010501</v>
      </c>
      <c r="V3" s="119"/>
      <c r="W3" s="119"/>
      <c r="X3" s="119"/>
      <c r="Y3" s="119"/>
    </row>
    <row r="4" spans="1:26" ht="20.25" customHeight="1" thickBot="1" x14ac:dyDescent="0.35">
      <c r="A4" s="123" t="s">
        <v>279</v>
      </c>
      <c r="B4" s="67" t="s">
        <v>249</v>
      </c>
      <c r="C4" s="67" t="s">
        <v>250</v>
      </c>
      <c r="D4" s="67" t="s">
        <v>251</v>
      </c>
      <c r="E4" s="124" t="s">
        <v>0</v>
      </c>
      <c r="F4" s="125" t="s">
        <v>280</v>
      </c>
      <c r="G4" s="126" t="s">
        <v>281</v>
      </c>
      <c r="H4" s="126" t="s">
        <v>254</v>
      </c>
      <c r="I4" s="126" t="s">
        <v>257</v>
      </c>
      <c r="J4" s="126" t="s">
        <v>261</v>
      </c>
      <c r="K4" s="126" t="s">
        <v>282</v>
      </c>
      <c r="L4" s="126" t="s">
        <v>283</v>
      </c>
      <c r="M4" s="127" t="s">
        <v>264</v>
      </c>
      <c r="N4" s="126" t="s">
        <v>265</v>
      </c>
      <c r="O4" s="126" t="s">
        <v>55</v>
      </c>
      <c r="P4" s="194" t="s">
        <v>1</v>
      </c>
      <c r="Q4" s="126" t="s">
        <v>284</v>
      </c>
      <c r="R4" s="128" t="s">
        <v>56</v>
      </c>
      <c r="S4" s="129" t="s">
        <v>270</v>
      </c>
      <c r="T4" s="126" t="s">
        <v>285</v>
      </c>
      <c r="U4" s="126" t="s">
        <v>286</v>
      </c>
      <c r="V4" s="126" t="s">
        <v>272</v>
      </c>
      <c r="W4" s="126" t="s">
        <v>273</v>
      </c>
      <c r="X4" s="126" t="s">
        <v>287</v>
      </c>
      <c r="Y4" s="126" t="s">
        <v>288</v>
      </c>
    </row>
    <row r="5" spans="1:26" s="137" customFormat="1" ht="9" customHeight="1" x14ac:dyDescent="0.3">
      <c r="A5" s="3" t="s">
        <v>57</v>
      </c>
      <c r="B5" s="73" t="s">
        <v>58</v>
      </c>
      <c r="C5" s="73" t="s">
        <v>52</v>
      </c>
      <c r="D5" s="73"/>
      <c r="E5" s="130">
        <v>1</v>
      </c>
      <c r="F5" s="131" t="s">
        <v>59</v>
      </c>
      <c r="G5" s="131">
        <v>204.29</v>
      </c>
      <c r="H5" s="132">
        <f>G5*15</f>
        <v>3064.35</v>
      </c>
      <c r="I5" s="131"/>
      <c r="J5" s="131"/>
      <c r="K5" s="195">
        <f>G5*4</f>
        <v>817.16</v>
      </c>
      <c r="L5" s="131">
        <f>Y5+X5</f>
        <v>670</v>
      </c>
      <c r="M5" s="132"/>
      <c r="N5" s="132"/>
      <c r="O5" s="132">
        <f t="shared" ref="O5:O55" si="0">SUM(H5:N5)</f>
        <v>4551.51</v>
      </c>
      <c r="P5" s="131">
        <v>443.13</v>
      </c>
      <c r="Q5" s="133"/>
      <c r="R5" s="134"/>
      <c r="S5" s="134"/>
      <c r="T5" s="131"/>
      <c r="U5" s="131"/>
      <c r="V5" s="132">
        <f>SUM(P5:U5)</f>
        <v>443.13</v>
      </c>
      <c r="W5" s="135">
        <f>O5-V5</f>
        <v>4108.38</v>
      </c>
      <c r="X5" s="131">
        <v>670</v>
      </c>
      <c r="Y5" s="131"/>
      <c r="Z5" s="136"/>
    </row>
    <row r="6" spans="1:26" s="137" customFormat="1" ht="9" customHeight="1" x14ac:dyDescent="0.25">
      <c r="A6" s="4" t="s">
        <v>57</v>
      </c>
      <c r="B6" s="73" t="s">
        <v>58</v>
      </c>
      <c r="C6" s="73" t="s">
        <v>60</v>
      </c>
      <c r="D6" s="73"/>
      <c r="E6" s="130">
        <v>2</v>
      </c>
      <c r="F6" s="131" t="s">
        <v>61</v>
      </c>
      <c r="G6" s="131">
        <v>111.56</v>
      </c>
      <c r="H6" s="132">
        <f t="shared" ref="H6:H53" si="1">G6*15</f>
        <v>1673.4</v>
      </c>
      <c r="I6" s="131"/>
      <c r="J6" s="131">
        <v>111.56</v>
      </c>
      <c r="K6" s="131">
        <v>334.68</v>
      </c>
      <c r="L6" s="131">
        <f t="shared" ref="L6:L55" si="2">Y6+X6</f>
        <v>100</v>
      </c>
      <c r="M6" s="132"/>
      <c r="N6" s="131"/>
      <c r="O6" s="132">
        <f t="shared" si="0"/>
        <v>2219.64</v>
      </c>
      <c r="P6" s="131">
        <v>137.41</v>
      </c>
      <c r="Q6" s="133">
        <v>250</v>
      </c>
      <c r="R6" s="134">
        <v>40.229999999999997</v>
      </c>
      <c r="S6" s="134"/>
      <c r="T6" s="131"/>
      <c r="U6" s="131"/>
      <c r="V6" s="132">
        <f t="shared" ref="V6:V55" si="3">SUM(P6:U6)</f>
        <v>427.64</v>
      </c>
      <c r="W6" s="135">
        <f t="shared" ref="W6:W55" si="4">O6-V6</f>
        <v>1792</v>
      </c>
      <c r="X6" s="131">
        <v>100</v>
      </c>
      <c r="Y6" s="131"/>
      <c r="Z6" s="136"/>
    </row>
    <row r="7" spans="1:26" s="137" customFormat="1" ht="9" customHeight="1" x14ac:dyDescent="0.3">
      <c r="A7" s="4" t="s">
        <v>57</v>
      </c>
      <c r="B7" s="73" t="s">
        <v>58</v>
      </c>
      <c r="C7" s="138" t="s">
        <v>62</v>
      </c>
      <c r="D7" s="73"/>
      <c r="E7" s="130">
        <v>3</v>
      </c>
      <c r="F7" s="139" t="s">
        <v>63</v>
      </c>
      <c r="G7" s="132">
        <v>226.66</v>
      </c>
      <c r="H7" s="132">
        <f t="shared" si="1"/>
        <v>3399.9</v>
      </c>
      <c r="I7" s="131"/>
      <c r="J7" s="132"/>
      <c r="K7" s="132"/>
      <c r="L7" s="131">
        <f t="shared" si="2"/>
        <v>500</v>
      </c>
      <c r="M7" s="132"/>
      <c r="N7" s="132"/>
      <c r="O7" s="132">
        <f t="shared" si="0"/>
        <v>3899.9</v>
      </c>
      <c r="P7" s="131">
        <v>333.07</v>
      </c>
      <c r="Q7" s="131"/>
      <c r="R7" s="134">
        <v>46.88</v>
      </c>
      <c r="S7" s="134"/>
      <c r="T7" s="131"/>
      <c r="U7" s="131"/>
      <c r="V7" s="132">
        <f t="shared" si="3"/>
        <v>379.95</v>
      </c>
      <c r="W7" s="135">
        <f t="shared" si="4"/>
        <v>3519.9500000000003</v>
      </c>
      <c r="X7" s="132">
        <v>500</v>
      </c>
      <c r="Y7" s="132"/>
      <c r="Z7" s="136"/>
    </row>
    <row r="8" spans="1:26" s="137" customFormat="1" ht="9" customHeight="1" x14ac:dyDescent="0.3">
      <c r="A8" s="4" t="s">
        <v>57</v>
      </c>
      <c r="B8" s="73" t="s">
        <v>58</v>
      </c>
      <c r="C8" s="138" t="s">
        <v>65</v>
      </c>
      <c r="D8" s="73"/>
      <c r="E8" s="130">
        <v>4</v>
      </c>
      <c r="F8" s="131" t="s">
        <v>66</v>
      </c>
      <c r="G8" s="131">
        <v>550</v>
      </c>
      <c r="H8" s="132">
        <f t="shared" si="1"/>
        <v>8250</v>
      </c>
      <c r="I8" s="131"/>
      <c r="J8" s="140"/>
      <c r="K8" s="131">
        <f>G8</f>
        <v>550</v>
      </c>
      <c r="L8" s="131">
        <f t="shared" si="2"/>
        <v>2500</v>
      </c>
      <c r="M8" s="132"/>
      <c r="N8" s="132"/>
      <c r="O8" s="132">
        <f t="shared" si="0"/>
        <v>11300</v>
      </c>
      <c r="P8" s="131">
        <v>1889.07</v>
      </c>
      <c r="Q8" s="132">
        <v>2000</v>
      </c>
      <c r="R8" s="134">
        <v>56.26</v>
      </c>
      <c r="S8" s="134"/>
      <c r="T8" s="131"/>
      <c r="U8" s="131"/>
      <c r="V8" s="132">
        <f t="shared" si="3"/>
        <v>3945.33</v>
      </c>
      <c r="W8" s="135">
        <f t="shared" si="4"/>
        <v>7354.67</v>
      </c>
      <c r="X8" s="131">
        <v>2500</v>
      </c>
      <c r="Y8" s="131"/>
      <c r="Z8" s="136"/>
    </row>
    <row r="9" spans="1:26" s="137" customFormat="1" ht="9" customHeight="1" x14ac:dyDescent="0.3">
      <c r="A9" s="4" t="s">
        <v>14</v>
      </c>
      <c r="B9" s="73" t="s">
        <v>58</v>
      </c>
      <c r="C9" s="73" t="s">
        <v>17</v>
      </c>
      <c r="D9" s="73"/>
      <c r="E9" s="130">
        <v>5</v>
      </c>
      <c r="F9" s="133" t="s">
        <v>64</v>
      </c>
      <c r="G9" s="132">
        <v>104</v>
      </c>
      <c r="H9" s="132">
        <f t="shared" si="1"/>
        <v>1560</v>
      </c>
      <c r="I9" s="131"/>
      <c r="J9" s="133"/>
      <c r="K9" s="133">
        <f>G9*2</f>
        <v>208</v>
      </c>
      <c r="L9" s="131">
        <f t="shared" si="2"/>
        <v>600</v>
      </c>
      <c r="M9" s="132"/>
      <c r="N9" s="133"/>
      <c r="O9" s="132">
        <f t="shared" si="0"/>
        <v>2368</v>
      </c>
      <c r="P9" s="139">
        <v>153.56</v>
      </c>
      <c r="Q9" s="133">
        <v>0</v>
      </c>
      <c r="R9" s="141"/>
      <c r="S9" s="141"/>
      <c r="T9" s="133"/>
      <c r="U9" s="133"/>
      <c r="V9" s="132">
        <f t="shared" si="3"/>
        <v>153.56</v>
      </c>
      <c r="W9" s="135">
        <f t="shared" si="4"/>
        <v>2214.44</v>
      </c>
      <c r="X9" s="133">
        <v>600</v>
      </c>
      <c r="Y9" s="133"/>
      <c r="Z9" s="136"/>
    </row>
    <row r="10" spans="1:26" s="137" customFormat="1" ht="9" customHeight="1" x14ac:dyDescent="0.25">
      <c r="A10" s="142" t="s">
        <v>57</v>
      </c>
      <c r="B10" s="73" t="s">
        <v>67</v>
      </c>
      <c r="C10" s="143" t="s">
        <v>68</v>
      </c>
      <c r="D10" s="143"/>
      <c r="E10" s="130">
        <v>6</v>
      </c>
      <c r="F10" s="144" t="s">
        <v>69</v>
      </c>
      <c r="G10" s="133">
        <v>474.93</v>
      </c>
      <c r="H10" s="132">
        <f t="shared" si="1"/>
        <v>7123.95</v>
      </c>
      <c r="I10" s="131"/>
      <c r="J10" s="145"/>
      <c r="K10" s="144"/>
      <c r="L10" s="131">
        <f t="shared" si="2"/>
        <v>0</v>
      </c>
      <c r="M10" s="133"/>
      <c r="N10" s="144"/>
      <c r="O10" s="132">
        <f t="shared" si="0"/>
        <v>7123.95</v>
      </c>
      <c r="P10" s="146">
        <v>974.49</v>
      </c>
      <c r="Q10" s="145"/>
      <c r="R10" s="147"/>
      <c r="S10" s="147"/>
      <c r="T10" s="145"/>
      <c r="U10" s="144"/>
      <c r="V10" s="132">
        <f t="shared" si="3"/>
        <v>974.49</v>
      </c>
      <c r="W10" s="135">
        <f t="shared" si="4"/>
        <v>6149.46</v>
      </c>
      <c r="X10" s="145"/>
      <c r="Y10" s="145"/>
      <c r="Z10" s="136"/>
    </row>
    <row r="11" spans="1:26" s="137" customFormat="1" ht="9" customHeight="1" x14ac:dyDescent="0.3">
      <c r="A11" s="4" t="s">
        <v>24</v>
      </c>
      <c r="B11" s="73" t="s">
        <v>58</v>
      </c>
      <c r="C11" s="73" t="s">
        <v>25</v>
      </c>
      <c r="D11" s="73"/>
      <c r="E11" s="148">
        <v>7</v>
      </c>
      <c r="F11" s="149" t="s">
        <v>239</v>
      </c>
      <c r="G11" s="150">
        <v>166</v>
      </c>
      <c r="H11" s="132">
        <f t="shared" si="1"/>
        <v>2490</v>
      </c>
      <c r="I11" s="131"/>
      <c r="J11" s="149">
        <v>0</v>
      </c>
      <c r="K11" s="149"/>
      <c r="L11" s="131">
        <f t="shared" si="2"/>
        <v>150</v>
      </c>
      <c r="M11" s="150"/>
      <c r="N11" s="149"/>
      <c r="O11" s="132">
        <f t="shared" si="0"/>
        <v>2640</v>
      </c>
      <c r="P11" s="149">
        <v>183.15</v>
      </c>
      <c r="Q11" s="149"/>
      <c r="R11" s="151"/>
      <c r="S11" s="151"/>
      <c r="T11" s="149"/>
      <c r="U11" s="149"/>
      <c r="V11" s="132">
        <f t="shared" si="3"/>
        <v>183.15</v>
      </c>
      <c r="W11" s="135">
        <f t="shared" si="4"/>
        <v>2456.85</v>
      </c>
      <c r="X11" s="133">
        <v>150</v>
      </c>
      <c r="Y11" s="133"/>
      <c r="Z11" s="136"/>
    </row>
    <row r="12" spans="1:26" s="137" customFormat="1" ht="9" customHeight="1" x14ac:dyDescent="0.3">
      <c r="A12" s="160"/>
      <c r="B12" s="161"/>
      <c r="C12" s="161"/>
      <c r="D12" s="161"/>
      <c r="E12" s="148">
        <v>8</v>
      </c>
      <c r="F12" s="149" t="s">
        <v>292</v>
      </c>
      <c r="G12" s="150">
        <v>140</v>
      </c>
      <c r="H12" s="132">
        <f t="shared" si="1"/>
        <v>2100</v>
      </c>
      <c r="I12" s="131"/>
      <c r="J12" s="149">
        <v>0</v>
      </c>
      <c r="K12" s="149"/>
      <c r="L12" s="131">
        <f t="shared" si="2"/>
        <v>100</v>
      </c>
      <c r="M12" s="150"/>
      <c r="N12" s="149"/>
      <c r="O12" s="132">
        <f t="shared" si="0"/>
        <v>2200</v>
      </c>
      <c r="P12" s="149">
        <v>135.28</v>
      </c>
      <c r="Q12" s="149"/>
      <c r="R12" s="151"/>
      <c r="S12" s="151"/>
      <c r="T12" s="149"/>
      <c r="U12" s="149"/>
      <c r="V12" s="132">
        <f t="shared" si="3"/>
        <v>135.28</v>
      </c>
      <c r="W12" s="135">
        <f t="shared" si="4"/>
        <v>2064.7199999999998</v>
      </c>
      <c r="X12" s="133">
        <v>100</v>
      </c>
      <c r="Y12" s="133"/>
      <c r="Z12" s="136"/>
    </row>
    <row r="13" spans="1:26" s="137" customFormat="1" ht="9" customHeight="1" x14ac:dyDescent="0.3">
      <c r="A13" s="3" t="s">
        <v>6</v>
      </c>
      <c r="B13" s="73" t="s">
        <v>58</v>
      </c>
      <c r="C13" s="73" t="s">
        <v>70</v>
      </c>
      <c r="D13" s="73"/>
      <c r="E13" s="130">
        <v>1</v>
      </c>
      <c r="F13" s="132" t="s">
        <v>71</v>
      </c>
      <c r="G13" s="132">
        <v>238.14</v>
      </c>
      <c r="H13" s="132">
        <f t="shared" si="1"/>
        <v>3572.1</v>
      </c>
      <c r="I13" s="131"/>
      <c r="J13" s="132">
        <v>0</v>
      </c>
      <c r="K13" s="132">
        <v>0</v>
      </c>
      <c r="L13" s="131">
        <f t="shared" si="2"/>
        <v>128</v>
      </c>
      <c r="M13" s="132"/>
      <c r="N13" s="132"/>
      <c r="O13" s="132">
        <f t="shared" si="0"/>
        <v>3700.1</v>
      </c>
      <c r="P13" s="131">
        <v>301.10000000000002</v>
      </c>
      <c r="Q13" s="152"/>
      <c r="R13" s="153"/>
      <c r="S13" s="153"/>
      <c r="T13" s="132">
        <v>0</v>
      </c>
      <c r="U13" s="132"/>
      <c r="V13" s="132">
        <f t="shared" si="3"/>
        <v>301.10000000000002</v>
      </c>
      <c r="W13" s="135">
        <f t="shared" si="4"/>
        <v>3399</v>
      </c>
      <c r="X13" s="132">
        <v>128</v>
      </c>
      <c r="Y13" s="132"/>
      <c r="Z13" s="136"/>
    </row>
    <row r="14" spans="1:26" s="137" customFormat="1" ht="9" customHeight="1" x14ac:dyDescent="0.3">
      <c r="A14" s="3" t="s">
        <v>6</v>
      </c>
      <c r="B14" s="73" t="s">
        <v>58</v>
      </c>
      <c r="C14" s="73" t="s">
        <v>17</v>
      </c>
      <c r="D14" s="73"/>
      <c r="E14" s="130">
        <v>2</v>
      </c>
      <c r="F14" s="131" t="s">
        <v>72</v>
      </c>
      <c r="G14" s="131">
        <v>138.68</v>
      </c>
      <c r="H14" s="132">
        <f>G14*14</f>
        <v>1941.52</v>
      </c>
      <c r="I14" s="131"/>
      <c r="J14" s="131"/>
      <c r="K14" s="131"/>
      <c r="L14" s="131">
        <f t="shared" si="2"/>
        <v>1028</v>
      </c>
      <c r="M14" s="132"/>
      <c r="N14" s="132"/>
      <c r="O14" s="132">
        <f t="shared" si="0"/>
        <v>2969.52</v>
      </c>
      <c r="P14" s="131">
        <v>219</v>
      </c>
      <c r="Q14" s="133"/>
      <c r="R14" s="134">
        <v>50</v>
      </c>
      <c r="S14" s="134"/>
      <c r="T14" s="131"/>
      <c r="U14" s="131"/>
      <c r="V14" s="132">
        <f t="shared" si="3"/>
        <v>269</v>
      </c>
      <c r="W14" s="135">
        <f t="shared" si="4"/>
        <v>2700.52</v>
      </c>
      <c r="X14" s="131">
        <v>128</v>
      </c>
      <c r="Y14" s="131">
        <f>150*6</f>
        <v>900</v>
      </c>
      <c r="Z14" s="136"/>
    </row>
    <row r="15" spans="1:26" s="137" customFormat="1" ht="9" customHeight="1" x14ac:dyDescent="0.3">
      <c r="A15" s="4" t="s">
        <v>6</v>
      </c>
      <c r="B15" s="73" t="s">
        <v>58</v>
      </c>
      <c r="C15" s="73" t="s">
        <v>73</v>
      </c>
      <c r="D15" s="73"/>
      <c r="E15" s="130">
        <v>3</v>
      </c>
      <c r="F15" s="131" t="s">
        <v>74</v>
      </c>
      <c r="G15" s="131">
        <v>238.14</v>
      </c>
      <c r="H15" s="132">
        <f t="shared" si="1"/>
        <v>3572.1</v>
      </c>
      <c r="I15" s="131"/>
      <c r="J15" s="131">
        <v>0</v>
      </c>
      <c r="K15" s="131"/>
      <c r="L15" s="131">
        <f t="shared" si="2"/>
        <v>128</v>
      </c>
      <c r="M15" s="132"/>
      <c r="N15" s="132"/>
      <c r="O15" s="132">
        <f t="shared" si="0"/>
        <v>3700.1</v>
      </c>
      <c r="P15" s="131">
        <v>301.10000000000002</v>
      </c>
      <c r="Q15" s="133">
        <v>500</v>
      </c>
      <c r="R15" s="134"/>
      <c r="S15" s="134"/>
      <c r="T15" s="131"/>
      <c r="U15" s="131"/>
      <c r="V15" s="132">
        <f t="shared" si="3"/>
        <v>801.1</v>
      </c>
      <c r="W15" s="135">
        <f t="shared" si="4"/>
        <v>2899</v>
      </c>
      <c r="X15" s="131">
        <v>128</v>
      </c>
      <c r="Y15" s="131"/>
      <c r="Z15" s="136"/>
    </row>
    <row r="16" spans="1:26" s="137" customFormat="1" ht="9" customHeight="1" x14ac:dyDescent="0.3">
      <c r="A16" s="4" t="s">
        <v>6</v>
      </c>
      <c r="B16" s="73" t="s">
        <v>58</v>
      </c>
      <c r="C16" s="73" t="s">
        <v>75</v>
      </c>
      <c r="D16" s="73"/>
      <c r="E16" s="130">
        <v>4</v>
      </c>
      <c r="F16" s="131" t="s">
        <v>76</v>
      </c>
      <c r="G16" s="131">
        <v>695.4</v>
      </c>
      <c r="H16" s="132">
        <f t="shared" si="1"/>
        <v>10431</v>
      </c>
      <c r="I16" s="131"/>
      <c r="J16" s="131"/>
      <c r="K16" s="131"/>
      <c r="L16" s="131">
        <f t="shared" si="2"/>
        <v>0</v>
      </c>
      <c r="M16" s="132"/>
      <c r="N16" s="132"/>
      <c r="O16" s="132">
        <f t="shared" si="0"/>
        <v>10431</v>
      </c>
      <c r="P16" s="131">
        <v>1684.68</v>
      </c>
      <c r="Q16" s="132"/>
      <c r="R16" s="134"/>
      <c r="S16" s="134"/>
      <c r="T16" s="131"/>
      <c r="U16" s="131"/>
      <c r="V16" s="132">
        <f t="shared" si="3"/>
        <v>1684.68</v>
      </c>
      <c r="W16" s="135">
        <f t="shared" si="4"/>
        <v>8746.32</v>
      </c>
      <c r="X16" s="131"/>
      <c r="Y16" s="131"/>
      <c r="Z16" s="136"/>
    </row>
    <row r="17" spans="1:26" s="137" customFormat="1" ht="9" customHeight="1" x14ac:dyDescent="0.3">
      <c r="A17" s="3" t="s">
        <v>6</v>
      </c>
      <c r="B17" s="73" t="s">
        <v>58</v>
      </c>
      <c r="C17" s="73" t="s">
        <v>17</v>
      </c>
      <c r="D17" s="73"/>
      <c r="E17" s="130">
        <v>5</v>
      </c>
      <c r="F17" s="139" t="s">
        <v>77</v>
      </c>
      <c r="G17" s="131">
        <v>124.80000000000001</v>
      </c>
      <c r="H17" s="132">
        <f t="shared" si="1"/>
        <v>1872.0000000000002</v>
      </c>
      <c r="I17" s="131"/>
      <c r="J17" s="131">
        <v>249.60000000000002</v>
      </c>
      <c r="K17" s="131">
        <v>374.4</v>
      </c>
      <c r="L17" s="131">
        <f t="shared" si="2"/>
        <v>2150</v>
      </c>
      <c r="M17" s="132"/>
      <c r="N17" s="132">
        <v>0</v>
      </c>
      <c r="O17" s="132">
        <f t="shared" si="0"/>
        <v>4646</v>
      </c>
      <c r="P17" s="131">
        <v>460.07</v>
      </c>
      <c r="Q17" s="132"/>
      <c r="R17" s="134">
        <v>37.5</v>
      </c>
      <c r="S17" s="134"/>
      <c r="T17" s="131"/>
      <c r="U17" s="131"/>
      <c r="V17" s="132">
        <f t="shared" si="3"/>
        <v>497.57</v>
      </c>
      <c r="W17" s="135">
        <f t="shared" si="4"/>
        <v>4148.43</v>
      </c>
      <c r="X17" s="131">
        <v>350</v>
      </c>
      <c r="Y17" s="131">
        <v>1800</v>
      </c>
      <c r="Z17" s="136"/>
    </row>
    <row r="18" spans="1:26" s="137" customFormat="1" ht="9" customHeight="1" x14ac:dyDescent="0.3">
      <c r="A18" s="6" t="s">
        <v>6</v>
      </c>
      <c r="B18" s="73" t="s">
        <v>58</v>
      </c>
      <c r="C18" s="154" t="s">
        <v>78</v>
      </c>
      <c r="D18" s="154"/>
      <c r="E18" s="155">
        <v>6</v>
      </c>
      <c r="F18" s="139" t="s">
        <v>79</v>
      </c>
      <c r="G18" s="139">
        <v>121.34</v>
      </c>
      <c r="H18" s="132">
        <f t="shared" si="1"/>
        <v>1820.1000000000001</v>
      </c>
      <c r="I18" s="131"/>
      <c r="J18" s="139"/>
      <c r="K18" s="139">
        <f>G18*4</f>
        <v>485.36</v>
      </c>
      <c r="L18" s="131">
        <f t="shared" si="2"/>
        <v>880</v>
      </c>
      <c r="M18" s="132"/>
      <c r="N18" s="132"/>
      <c r="O18" s="132">
        <f t="shared" si="0"/>
        <v>3185.46</v>
      </c>
      <c r="P18" s="139">
        <v>242.49</v>
      </c>
      <c r="Q18" s="133"/>
      <c r="R18" s="156"/>
      <c r="S18" s="156"/>
      <c r="T18" s="139"/>
      <c r="U18" s="139"/>
      <c r="V18" s="132">
        <f t="shared" si="3"/>
        <v>242.49</v>
      </c>
      <c r="W18" s="135">
        <f t="shared" si="4"/>
        <v>2942.9700000000003</v>
      </c>
      <c r="X18" s="139">
        <v>380</v>
      </c>
      <c r="Y18" s="139">
        <v>500</v>
      </c>
      <c r="Z18" s="136"/>
    </row>
    <row r="19" spans="1:26" s="137" customFormat="1" ht="9" customHeight="1" x14ac:dyDescent="0.3">
      <c r="A19" s="4" t="s">
        <v>6</v>
      </c>
      <c r="B19" s="73" t="s">
        <v>58</v>
      </c>
      <c r="C19" s="73" t="s">
        <v>9</v>
      </c>
      <c r="D19" s="73"/>
      <c r="E19" s="130">
        <v>7</v>
      </c>
      <c r="F19" s="133" t="s">
        <v>80</v>
      </c>
      <c r="G19" s="133">
        <v>156</v>
      </c>
      <c r="H19" s="132">
        <f t="shared" si="1"/>
        <v>2340</v>
      </c>
      <c r="I19" s="131"/>
      <c r="J19" s="133"/>
      <c r="K19" s="133">
        <f>G19</f>
        <v>156</v>
      </c>
      <c r="L19" s="131">
        <f t="shared" si="2"/>
        <v>180</v>
      </c>
      <c r="M19" s="132"/>
      <c r="N19" s="132"/>
      <c r="O19" s="132">
        <f t="shared" si="0"/>
        <v>2676</v>
      </c>
      <c r="P19" s="139">
        <v>187.07</v>
      </c>
      <c r="Q19" s="133"/>
      <c r="R19" s="141"/>
      <c r="S19" s="141"/>
      <c r="T19" s="133"/>
      <c r="U19" s="133"/>
      <c r="V19" s="132">
        <f t="shared" si="3"/>
        <v>187.07</v>
      </c>
      <c r="W19" s="135">
        <f t="shared" si="4"/>
        <v>2488.9299999999998</v>
      </c>
      <c r="X19" s="133">
        <v>180</v>
      </c>
      <c r="Y19" s="133"/>
      <c r="Z19" s="136"/>
    </row>
    <row r="20" spans="1:26" s="137" customFormat="1" ht="9" customHeight="1" x14ac:dyDescent="0.3">
      <c r="A20" s="4" t="s">
        <v>6</v>
      </c>
      <c r="B20" s="73" t="s">
        <v>58</v>
      </c>
      <c r="C20" s="73" t="s">
        <v>17</v>
      </c>
      <c r="D20" s="73"/>
      <c r="E20" s="130">
        <v>8</v>
      </c>
      <c r="F20" s="133" t="s">
        <v>81</v>
      </c>
      <c r="G20" s="157">
        <v>104</v>
      </c>
      <c r="H20" s="132">
        <f>G20*14</f>
        <v>1456</v>
      </c>
      <c r="I20" s="131"/>
      <c r="J20" s="157"/>
      <c r="K20" s="157"/>
      <c r="L20" s="131">
        <f t="shared" si="2"/>
        <v>260</v>
      </c>
      <c r="M20" s="157"/>
      <c r="N20" s="157">
        <v>0</v>
      </c>
      <c r="O20" s="132">
        <f t="shared" si="0"/>
        <v>1716</v>
      </c>
      <c r="P20" s="144">
        <v>98.81</v>
      </c>
      <c r="Q20" s="157">
        <v>0</v>
      </c>
      <c r="R20" s="158"/>
      <c r="S20" s="158"/>
      <c r="T20" s="157"/>
      <c r="U20" s="157"/>
      <c r="V20" s="132">
        <f t="shared" si="3"/>
        <v>98.81</v>
      </c>
      <c r="W20" s="135">
        <f t="shared" si="4"/>
        <v>1617.19</v>
      </c>
      <c r="X20" s="133">
        <v>110</v>
      </c>
      <c r="Y20" s="133">
        <v>150</v>
      </c>
      <c r="Z20" s="136"/>
    </row>
    <row r="21" spans="1:26" s="137" customFormat="1" ht="9" customHeight="1" x14ac:dyDescent="0.3">
      <c r="A21" s="4" t="s">
        <v>11</v>
      </c>
      <c r="B21" s="73" t="s">
        <v>58</v>
      </c>
      <c r="C21" s="73" t="s">
        <v>12</v>
      </c>
      <c r="D21" s="73"/>
      <c r="E21" s="130">
        <v>1</v>
      </c>
      <c r="F21" s="133" t="s">
        <v>82</v>
      </c>
      <c r="G21" s="132">
        <v>194.8</v>
      </c>
      <c r="H21" s="132">
        <f t="shared" si="1"/>
        <v>2922</v>
      </c>
      <c r="I21" s="131"/>
      <c r="J21" s="133"/>
      <c r="K21" s="133"/>
      <c r="L21" s="131">
        <f t="shared" si="2"/>
        <v>165</v>
      </c>
      <c r="M21" s="132"/>
      <c r="N21" s="132"/>
      <c r="O21" s="132">
        <f t="shared" si="0"/>
        <v>3087</v>
      </c>
      <c r="P21" s="131">
        <v>231.78</v>
      </c>
      <c r="Q21" s="133">
        <v>500</v>
      </c>
      <c r="R21" s="141"/>
      <c r="S21" s="141"/>
      <c r="T21" s="133"/>
      <c r="U21" s="133"/>
      <c r="V21" s="132">
        <f t="shared" si="3"/>
        <v>731.78</v>
      </c>
      <c r="W21" s="135">
        <f t="shared" si="4"/>
        <v>2355.2200000000003</v>
      </c>
      <c r="X21" s="133">
        <v>165</v>
      </c>
      <c r="Y21" s="133"/>
      <c r="Z21" s="136"/>
    </row>
    <row r="22" spans="1:26" s="137" customFormat="1" ht="9" customHeight="1" x14ac:dyDescent="0.3">
      <c r="A22" s="4" t="s">
        <v>11</v>
      </c>
      <c r="B22" s="73" t="s">
        <v>67</v>
      </c>
      <c r="C22" s="73" t="s">
        <v>83</v>
      </c>
      <c r="D22" s="73"/>
      <c r="E22" s="130">
        <v>2</v>
      </c>
      <c r="F22" s="139" t="s">
        <v>84</v>
      </c>
      <c r="G22" s="132">
        <v>605</v>
      </c>
      <c r="H22" s="132">
        <f t="shared" si="1"/>
        <v>9075</v>
      </c>
      <c r="I22" s="131"/>
      <c r="J22" s="131"/>
      <c r="K22" s="139">
        <f>G22*3</f>
        <v>1815</v>
      </c>
      <c r="L22" s="131">
        <v>400</v>
      </c>
      <c r="M22" s="132"/>
      <c r="N22" s="139"/>
      <c r="O22" s="132">
        <f t="shared" si="0"/>
        <v>11290</v>
      </c>
      <c r="P22" s="132">
        <v>1886.72</v>
      </c>
      <c r="Q22" s="131">
        <v>1420.4</v>
      </c>
      <c r="R22" s="134">
        <v>237.12</v>
      </c>
      <c r="S22" s="134"/>
      <c r="T22" s="131"/>
      <c r="U22" s="139"/>
      <c r="V22" s="132">
        <f t="shared" si="3"/>
        <v>3544.24</v>
      </c>
      <c r="W22" s="135">
        <f t="shared" si="4"/>
        <v>7745.76</v>
      </c>
      <c r="X22" s="131"/>
      <c r="Y22" s="131"/>
      <c r="Z22" s="136"/>
    </row>
    <row r="23" spans="1:26" s="137" customFormat="1" ht="9" customHeight="1" x14ac:dyDescent="0.3">
      <c r="A23" s="160"/>
      <c r="B23" s="161"/>
      <c r="C23" s="161"/>
      <c r="D23" s="161"/>
      <c r="E23" s="148">
        <v>3</v>
      </c>
      <c r="F23" s="149" t="s">
        <v>132</v>
      </c>
      <c r="G23" s="150">
        <v>300</v>
      </c>
      <c r="H23" s="132">
        <f t="shared" si="1"/>
        <v>4500</v>
      </c>
      <c r="I23" s="131"/>
      <c r="J23" s="150"/>
      <c r="K23" s="149"/>
      <c r="L23" s="131">
        <f t="shared" si="2"/>
        <v>0</v>
      </c>
      <c r="M23" s="150"/>
      <c r="N23" s="149"/>
      <c r="O23" s="132">
        <f t="shared" si="0"/>
        <v>4500</v>
      </c>
      <c r="P23" s="150">
        <v>433.91</v>
      </c>
      <c r="Q23" s="150"/>
      <c r="R23" s="162"/>
      <c r="S23" s="162"/>
      <c r="T23" s="150"/>
      <c r="U23" s="149"/>
      <c r="V23" s="132">
        <f t="shared" si="3"/>
        <v>433.91</v>
      </c>
      <c r="W23" s="135">
        <f t="shared" si="4"/>
        <v>4066.09</v>
      </c>
      <c r="X23" s="150"/>
      <c r="Y23" s="150"/>
      <c r="Z23" s="136"/>
    </row>
    <row r="24" spans="1:26" s="137" customFormat="1" ht="9" customHeight="1" x14ac:dyDescent="0.3">
      <c r="A24" s="4" t="s">
        <v>14</v>
      </c>
      <c r="B24" s="73" t="s">
        <v>85</v>
      </c>
      <c r="C24" s="73" t="s">
        <v>78</v>
      </c>
      <c r="D24" s="73"/>
      <c r="E24" s="130">
        <v>1</v>
      </c>
      <c r="F24" s="131" t="s">
        <v>86</v>
      </c>
      <c r="G24" s="139">
        <v>200.7</v>
      </c>
      <c r="H24" s="132">
        <f t="shared" si="1"/>
        <v>3010.5</v>
      </c>
      <c r="I24" s="131"/>
      <c r="J24" s="139"/>
      <c r="K24" s="139">
        <f>G24*2</f>
        <v>401.4</v>
      </c>
      <c r="L24" s="131">
        <f t="shared" si="2"/>
        <v>1100</v>
      </c>
      <c r="M24" s="133"/>
      <c r="N24" s="133"/>
      <c r="O24" s="132">
        <f t="shared" si="0"/>
        <v>4511.8999999999996</v>
      </c>
      <c r="P24" s="139">
        <v>436.04</v>
      </c>
      <c r="Q24" s="133"/>
      <c r="R24" s="156"/>
      <c r="S24" s="156"/>
      <c r="T24" s="139">
        <v>0</v>
      </c>
      <c r="U24" s="139">
        <v>28.05</v>
      </c>
      <c r="V24" s="132">
        <f t="shared" si="3"/>
        <v>464.09000000000003</v>
      </c>
      <c r="W24" s="135">
        <f t="shared" si="4"/>
        <v>4047.8099999999995</v>
      </c>
      <c r="X24" s="139">
        <v>1100</v>
      </c>
      <c r="Y24" s="139"/>
      <c r="Z24" s="136"/>
    </row>
    <row r="25" spans="1:26" s="137" customFormat="1" ht="9" customHeight="1" x14ac:dyDescent="0.3">
      <c r="A25" s="4" t="s">
        <v>14</v>
      </c>
      <c r="B25" s="73" t="s">
        <v>58</v>
      </c>
      <c r="C25" s="73" t="s">
        <v>17</v>
      </c>
      <c r="D25" s="73"/>
      <c r="E25" s="130">
        <v>2</v>
      </c>
      <c r="F25" s="133" t="s">
        <v>87</v>
      </c>
      <c r="G25" s="133">
        <v>104</v>
      </c>
      <c r="H25" s="132">
        <f>G25*14</f>
        <v>1456</v>
      </c>
      <c r="I25" s="131"/>
      <c r="J25" s="133"/>
      <c r="K25" s="133">
        <v>0</v>
      </c>
      <c r="L25" s="131">
        <f t="shared" si="2"/>
        <v>550</v>
      </c>
      <c r="M25" s="133"/>
      <c r="N25" s="133"/>
      <c r="O25" s="132">
        <f t="shared" si="0"/>
        <v>2006</v>
      </c>
      <c r="P25" s="139">
        <v>117.37</v>
      </c>
      <c r="Q25" s="133"/>
      <c r="R25" s="141"/>
      <c r="S25" s="141"/>
      <c r="T25" s="133"/>
      <c r="U25" s="133"/>
      <c r="V25" s="132">
        <f t="shared" si="3"/>
        <v>117.37</v>
      </c>
      <c r="W25" s="135">
        <f t="shared" si="4"/>
        <v>1888.63</v>
      </c>
      <c r="X25" s="133">
        <v>100</v>
      </c>
      <c r="Y25" s="133">
        <v>450</v>
      </c>
      <c r="Z25" s="136"/>
    </row>
    <row r="26" spans="1:26" s="137" customFormat="1" ht="9" customHeight="1" x14ac:dyDescent="0.3">
      <c r="A26" s="4" t="s">
        <v>24</v>
      </c>
      <c r="B26" s="73" t="s">
        <v>58</v>
      </c>
      <c r="C26" s="73" t="s">
        <v>118</v>
      </c>
      <c r="D26" s="73"/>
      <c r="E26" s="130">
        <v>3</v>
      </c>
      <c r="F26" s="139" t="s">
        <v>232</v>
      </c>
      <c r="G26" s="139">
        <v>104</v>
      </c>
      <c r="H26" s="132">
        <f t="shared" si="1"/>
        <v>1560</v>
      </c>
      <c r="I26" s="131"/>
      <c r="J26" s="139"/>
      <c r="K26" s="139"/>
      <c r="L26" s="131">
        <f t="shared" si="2"/>
        <v>1050</v>
      </c>
      <c r="M26" s="139"/>
      <c r="N26" s="139"/>
      <c r="O26" s="132">
        <f t="shared" si="0"/>
        <v>2610</v>
      </c>
      <c r="P26" s="133">
        <v>179.88</v>
      </c>
      <c r="Q26" s="139"/>
      <c r="R26" s="156"/>
      <c r="S26" s="156"/>
      <c r="T26" s="139"/>
      <c r="U26" s="139"/>
      <c r="V26" s="132">
        <f t="shared" si="3"/>
        <v>179.88</v>
      </c>
      <c r="W26" s="135">
        <f t="shared" si="4"/>
        <v>2430.12</v>
      </c>
      <c r="X26" s="133">
        <v>100</v>
      </c>
      <c r="Y26" s="139">
        <v>950</v>
      </c>
      <c r="Z26" s="136"/>
    </row>
    <row r="27" spans="1:26" s="137" customFormat="1" ht="9" customHeight="1" x14ac:dyDescent="0.3">
      <c r="A27" s="4" t="s">
        <v>14</v>
      </c>
      <c r="B27" s="73" t="s">
        <v>58</v>
      </c>
      <c r="C27" s="73" t="s">
        <v>17</v>
      </c>
      <c r="D27" s="73"/>
      <c r="E27" s="130">
        <v>4</v>
      </c>
      <c r="F27" s="163" t="s">
        <v>241</v>
      </c>
      <c r="G27" s="141">
        <v>124.66</v>
      </c>
      <c r="H27" s="132">
        <f t="shared" si="1"/>
        <v>1869.8999999999999</v>
      </c>
      <c r="I27" s="131"/>
      <c r="J27" s="133"/>
      <c r="K27" s="133"/>
      <c r="L27" s="131">
        <f t="shared" si="2"/>
        <v>1150</v>
      </c>
      <c r="M27" s="133"/>
      <c r="N27" s="133"/>
      <c r="O27" s="132">
        <f t="shared" si="0"/>
        <v>3019.8999999999996</v>
      </c>
      <c r="P27" s="139">
        <v>224.48</v>
      </c>
      <c r="Q27" s="133"/>
      <c r="R27" s="141"/>
      <c r="S27" s="141"/>
      <c r="T27" s="133"/>
      <c r="U27" s="133"/>
      <c r="V27" s="132">
        <f t="shared" si="3"/>
        <v>224.48</v>
      </c>
      <c r="W27" s="135">
        <f t="shared" si="4"/>
        <v>2795.4199999999996</v>
      </c>
      <c r="X27" s="133">
        <v>250</v>
      </c>
      <c r="Y27" s="133">
        <v>900</v>
      </c>
      <c r="Z27" s="136"/>
    </row>
    <row r="28" spans="1:26" s="137" customFormat="1" ht="9" customHeight="1" x14ac:dyDescent="0.3">
      <c r="A28" s="4" t="s">
        <v>14</v>
      </c>
      <c r="B28" s="73" t="s">
        <v>58</v>
      </c>
      <c r="C28" s="73" t="s">
        <v>17</v>
      </c>
      <c r="D28" s="73"/>
      <c r="E28" s="130">
        <v>5</v>
      </c>
      <c r="F28" s="163" t="s">
        <v>88</v>
      </c>
      <c r="G28" s="141">
        <v>124.66</v>
      </c>
      <c r="H28" s="132">
        <f t="shared" si="1"/>
        <v>1869.8999999999999</v>
      </c>
      <c r="I28" s="131"/>
      <c r="J28" s="133"/>
      <c r="K28" s="133">
        <f>G28*6</f>
        <v>747.96</v>
      </c>
      <c r="L28" s="131">
        <f t="shared" si="2"/>
        <v>450</v>
      </c>
      <c r="M28" s="133"/>
      <c r="N28" s="133"/>
      <c r="O28" s="132">
        <f t="shared" si="0"/>
        <v>3067.8599999999997</v>
      </c>
      <c r="P28" s="139">
        <v>229.7</v>
      </c>
      <c r="Q28" s="133">
        <v>0.22</v>
      </c>
      <c r="R28" s="141"/>
      <c r="S28" s="141"/>
      <c r="T28" s="133"/>
      <c r="U28" s="133"/>
      <c r="V28" s="132">
        <f t="shared" si="3"/>
        <v>229.92</v>
      </c>
      <c r="W28" s="135">
        <f t="shared" si="4"/>
        <v>2837.9399999999996</v>
      </c>
      <c r="X28" s="133">
        <v>450</v>
      </c>
      <c r="Y28" s="133"/>
      <c r="Z28" s="136"/>
    </row>
    <row r="29" spans="1:26" s="137" customFormat="1" ht="9" customHeight="1" x14ac:dyDescent="0.3">
      <c r="A29" s="4" t="s">
        <v>14</v>
      </c>
      <c r="B29" s="73" t="s">
        <v>58</v>
      </c>
      <c r="C29" s="73" t="s">
        <v>17</v>
      </c>
      <c r="D29" s="73"/>
      <c r="E29" s="130">
        <v>6</v>
      </c>
      <c r="F29" s="163" t="s">
        <v>89</v>
      </c>
      <c r="G29" s="141">
        <v>104</v>
      </c>
      <c r="H29" s="132">
        <f t="shared" si="1"/>
        <v>1560</v>
      </c>
      <c r="I29" s="131"/>
      <c r="J29" s="133"/>
      <c r="K29" s="164">
        <f>G29*9</f>
        <v>936</v>
      </c>
      <c r="L29" s="131">
        <f t="shared" si="2"/>
        <v>1650</v>
      </c>
      <c r="M29" s="133"/>
      <c r="N29" s="133"/>
      <c r="O29" s="132">
        <f t="shared" si="0"/>
        <v>4146</v>
      </c>
      <c r="P29" s="139">
        <v>372.45</v>
      </c>
      <c r="Q29" s="133"/>
      <c r="R29" s="141"/>
      <c r="S29" s="141"/>
      <c r="T29" s="133"/>
      <c r="U29" s="133"/>
      <c r="V29" s="132">
        <f t="shared" si="3"/>
        <v>372.45</v>
      </c>
      <c r="W29" s="135">
        <f t="shared" si="4"/>
        <v>3773.55</v>
      </c>
      <c r="X29" s="133">
        <v>600</v>
      </c>
      <c r="Y29" s="133">
        <v>1050</v>
      </c>
      <c r="Z29" s="136"/>
    </row>
    <row r="30" spans="1:26" s="137" customFormat="1" ht="9" customHeight="1" x14ac:dyDescent="0.3">
      <c r="A30" s="4" t="s">
        <v>14</v>
      </c>
      <c r="B30" s="73" t="s">
        <v>58</v>
      </c>
      <c r="C30" s="73" t="s">
        <v>17</v>
      </c>
      <c r="D30" s="73"/>
      <c r="E30" s="130">
        <v>7</v>
      </c>
      <c r="F30" s="165" t="s">
        <v>90</v>
      </c>
      <c r="G30" s="141">
        <v>104</v>
      </c>
      <c r="H30" s="132">
        <f t="shared" si="1"/>
        <v>1560</v>
      </c>
      <c r="I30" s="131"/>
      <c r="J30" s="133"/>
      <c r="K30" s="133"/>
      <c r="L30" s="131">
        <f t="shared" si="2"/>
        <v>1450</v>
      </c>
      <c r="M30" s="133"/>
      <c r="N30" s="133"/>
      <c r="O30" s="132">
        <f t="shared" si="0"/>
        <v>3010</v>
      </c>
      <c r="P30" s="139">
        <v>223.4</v>
      </c>
      <c r="Q30" s="133"/>
      <c r="R30" s="141"/>
      <c r="S30" s="141"/>
      <c r="T30" s="133"/>
      <c r="U30" s="133"/>
      <c r="V30" s="132">
        <f t="shared" si="3"/>
        <v>223.4</v>
      </c>
      <c r="W30" s="135">
        <f t="shared" si="4"/>
        <v>2786.6</v>
      </c>
      <c r="X30" s="133">
        <v>100</v>
      </c>
      <c r="Y30" s="133">
        <f>150*9</f>
        <v>1350</v>
      </c>
      <c r="Z30" s="136"/>
    </row>
    <row r="31" spans="1:26" s="137" customFormat="1" ht="9" customHeight="1" x14ac:dyDescent="0.3">
      <c r="A31" s="4" t="s">
        <v>14</v>
      </c>
      <c r="B31" s="73" t="s">
        <v>58</v>
      </c>
      <c r="C31" s="73" t="s">
        <v>17</v>
      </c>
      <c r="D31" s="73"/>
      <c r="E31" s="130">
        <v>8</v>
      </c>
      <c r="F31" s="165" t="s">
        <v>91</v>
      </c>
      <c r="G31" s="141">
        <v>104</v>
      </c>
      <c r="H31" s="132">
        <f t="shared" si="1"/>
        <v>1560</v>
      </c>
      <c r="I31" s="131"/>
      <c r="J31" s="133"/>
      <c r="K31" s="133"/>
      <c r="L31" s="131">
        <f t="shared" si="2"/>
        <v>1450</v>
      </c>
      <c r="M31" s="133"/>
      <c r="N31" s="133"/>
      <c r="O31" s="132">
        <f t="shared" si="0"/>
        <v>3010</v>
      </c>
      <c r="P31" s="139">
        <v>223.4</v>
      </c>
      <c r="Q31" s="133"/>
      <c r="R31" s="141"/>
      <c r="S31" s="141"/>
      <c r="T31" s="133"/>
      <c r="U31" s="133"/>
      <c r="V31" s="132">
        <f t="shared" si="3"/>
        <v>223.4</v>
      </c>
      <c r="W31" s="135">
        <f t="shared" si="4"/>
        <v>2786.6</v>
      </c>
      <c r="X31" s="133">
        <v>100</v>
      </c>
      <c r="Y31" s="133">
        <f>150*9</f>
        <v>1350</v>
      </c>
      <c r="Z31" s="136"/>
    </row>
    <row r="32" spans="1:26" s="137" customFormat="1" ht="9" customHeight="1" x14ac:dyDescent="0.3">
      <c r="A32" s="4" t="s">
        <v>14</v>
      </c>
      <c r="B32" s="73" t="s">
        <v>58</v>
      </c>
      <c r="C32" s="73" t="s">
        <v>17</v>
      </c>
      <c r="D32" s="73"/>
      <c r="E32" s="130">
        <v>9</v>
      </c>
      <c r="F32" s="139" t="s">
        <v>92</v>
      </c>
      <c r="G32" s="133">
        <v>104</v>
      </c>
      <c r="H32" s="132">
        <f t="shared" si="1"/>
        <v>1560</v>
      </c>
      <c r="I32" s="131"/>
      <c r="J32" s="139"/>
      <c r="K32" s="139"/>
      <c r="L32" s="131">
        <f t="shared" si="2"/>
        <v>700</v>
      </c>
      <c r="M32" s="133"/>
      <c r="N32" s="139"/>
      <c r="O32" s="132">
        <f t="shared" si="0"/>
        <v>2260</v>
      </c>
      <c r="P32" s="133">
        <v>141.80000000000001</v>
      </c>
      <c r="Q32" s="139"/>
      <c r="R32" s="156"/>
      <c r="S32" s="156"/>
      <c r="T32" s="139"/>
      <c r="U32" s="139"/>
      <c r="V32" s="132">
        <f t="shared" si="3"/>
        <v>141.80000000000001</v>
      </c>
      <c r="W32" s="135">
        <f t="shared" si="4"/>
        <v>2118.1999999999998</v>
      </c>
      <c r="X32" s="133">
        <v>100</v>
      </c>
      <c r="Y32" s="4">
        <v>600</v>
      </c>
      <c r="Z32" s="136"/>
    </row>
    <row r="33" spans="1:26" s="137" customFormat="1" ht="9" customHeight="1" x14ac:dyDescent="0.3">
      <c r="A33" s="4" t="s">
        <v>14</v>
      </c>
      <c r="B33" s="73" t="s">
        <v>58</v>
      </c>
      <c r="C33" s="73" t="s">
        <v>78</v>
      </c>
      <c r="D33" s="73"/>
      <c r="E33" s="130">
        <v>10</v>
      </c>
      <c r="F33" s="133" t="s">
        <v>93</v>
      </c>
      <c r="G33" s="133">
        <v>150</v>
      </c>
      <c r="H33" s="132">
        <f t="shared" si="1"/>
        <v>2250</v>
      </c>
      <c r="I33" s="131"/>
      <c r="J33" s="133"/>
      <c r="K33" s="133">
        <f>G33*2</f>
        <v>300</v>
      </c>
      <c r="L33" s="131">
        <f t="shared" si="2"/>
        <v>100</v>
      </c>
      <c r="M33" s="133"/>
      <c r="N33" s="139"/>
      <c r="O33" s="132">
        <f t="shared" si="0"/>
        <v>2650</v>
      </c>
      <c r="P33" s="133">
        <v>184.24</v>
      </c>
      <c r="Q33" s="139"/>
      <c r="R33" s="156"/>
      <c r="S33" s="156"/>
      <c r="T33" s="139"/>
      <c r="U33" s="139"/>
      <c r="V33" s="132">
        <f t="shared" si="3"/>
        <v>184.24</v>
      </c>
      <c r="W33" s="135">
        <f t="shared" si="4"/>
        <v>2465.7600000000002</v>
      </c>
      <c r="X33" s="133">
        <v>100</v>
      </c>
      <c r="Y33" s="4"/>
      <c r="Z33" s="136"/>
    </row>
    <row r="34" spans="1:26" s="137" customFormat="1" ht="9" customHeight="1" x14ac:dyDescent="0.3">
      <c r="A34" s="4" t="s">
        <v>14</v>
      </c>
      <c r="B34" s="73" t="s">
        <v>58</v>
      </c>
      <c r="C34" s="73"/>
      <c r="D34" s="73"/>
      <c r="E34" s="148">
        <v>11</v>
      </c>
      <c r="F34" s="149" t="s">
        <v>133</v>
      </c>
      <c r="G34" s="132">
        <v>104</v>
      </c>
      <c r="H34" s="132">
        <f t="shared" si="1"/>
        <v>1560</v>
      </c>
      <c r="I34" s="131"/>
      <c r="J34" s="133"/>
      <c r="K34" s="133"/>
      <c r="L34" s="131">
        <f t="shared" si="2"/>
        <v>1150</v>
      </c>
      <c r="M34" s="132"/>
      <c r="N34" s="139"/>
      <c r="O34" s="132">
        <f t="shared" si="0"/>
        <v>2710</v>
      </c>
      <c r="P34" s="132">
        <v>190.76</v>
      </c>
      <c r="Q34" s="131"/>
      <c r="R34" s="134"/>
      <c r="S34" s="134"/>
      <c r="T34" s="131"/>
      <c r="U34" s="139"/>
      <c r="V34" s="132">
        <f t="shared" si="3"/>
        <v>190.76</v>
      </c>
      <c r="W34" s="135">
        <f t="shared" si="4"/>
        <v>2519.2399999999998</v>
      </c>
      <c r="X34" s="133">
        <v>100</v>
      </c>
      <c r="Y34" s="4">
        <v>1050</v>
      </c>
      <c r="Z34" s="136"/>
    </row>
    <row r="35" spans="1:26" s="137" customFormat="1" ht="9" customHeight="1" x14ac:dyDescent="0.3">
      <c r="A35" s="4" t="s">
        <v>14</v>
      </c>
      <c r="B35" s="73" t="s">
        <v>58</v>
      </c>
      <c r="C35" s="73"/>
      <c r="D35" s="73"/>
      <c r="E35" s="148">
        <v>12</v>
      </c>
      <c r="F35" s="149" t="s">
        <v>134</v>
      </c>
      <c r="G35" s="150">
        <v>104</v>
      </c>
      <c r="H35" s="132">
        <f t="shared" si="1"/>
        <v>1560</v>
      </c>
      <c r="I35" s="131"/>
      <c r="J35" s="149"/>
      <c r="K35" s="149"/>
      <c r="L35" s="131">
        <f t="shared" si="2"/>
        <v>1150</v>
      </c>
      <c r="M35" s="150"/>
      <c r="N35" s="149"/>
      <c r="O35" s="132">
        <f t="shared" si="0"/>
        <v>2710</v>
      </c>
      <c r="P35" s="150">
        <v>190.76</v>
      </c>
      <c r="Q35" s="150"/>
      <c r="R35" s="162"/>
      <c r="S35" s="162"/>
      <c r="T35" s="150"/>
      <c r="U35" s="149"/>
      <c r="V35" s="132">
        <f t="shared" si="3"/>
        <v>190.76</v>
      </c>
      <c r="W35" s="135">
        <f t="shared" si="4"/>
        <v>2519.2399999999998</v>
      </c>
      <c r="X35" s="149">
        <v>100</v>
      </c>
      <c r="Y35" s="4">
        <v>1050</v>
      </c>
      <c r="Z35" s="136"/>
    </row>
    <row r="36" spans="1:26" s="137" customFormat="1" ht="9" customHeight="1" x14ac:dyDescent="0.3">
      <c r="A36" s="4" t="s">
        <v>14</v>
      </c>
      <c r="B36" s="73" t="s">
        <v>58</v>
      </c>
      <c r="C36" s="73"/>
      <c r="D36" s="73"/>
      <c r="E36" s="148">
        <v>13</v>
      </c>
      <c r="F36" s="149" t="s">
        <v>233</v>
      </c>
      <c r="G36" s="150">
        <v>104</v>
      </c>
      <c r="H36" s="132">
        <f t="shared" si="1"/>
        <v>1560</v>
      </c>
      <c r="I36" s="131"/>
      <c r="J36" s="149"/>
      <c r="K36" s="149"/>
      <c r="L36" s="131">
        <f t="shared" si="2"/>
        <v>1000</v>
      </c>
      <c r="M36" s="150"/>
      <c r="N36" s="149"/>
      <c r="O36" s="132">
        <f t="shared" si="0"/>
        <v>2560</v>
      </c>
      <c r="P36" s="150">
        <v>174.44</v>
      </c>
      <c r="Q36" s="150"/>
      <c r="R36" s="162"/>
      <c r="S36" s="162"/>
      <c r="T36" s="150"/>
      <c r="U36" s="149"/>
      <c r="V36" s="132">
        <f t="shared" si="3"/>
        <v>174.44</v>
      </c>
      <c r="W36" s="135">
        <f t="shared" si="4"/>
        <v>2385.56</v>
      </c>
      <c r="X36" s="149">
        <v>100</v>
      </c>
      <c r="Y36" s="139">
        <v>900</v>
      </c>
      <c r="Z36" s="136"/>
    </row>
    <row r="37" spans="1:26" s="137" customFormat="1" ht="9" customHeight="1" x14ac:dyDescent="0.25">
      <c r="A37" s="4" t="s">
        <v>94</v>
      </c>
      <c r="B37" s="73" t="s">
        <v>58</v>
      </c>
      <c r="C37" s="73" t="s">
        <v>95</v>
      </c>
      <c r="D37" s="73"/>
      <c r="E37" s="130">
        <v>1</v>
      </c>
      <c r="F37" s="166" t="s">
        <v>96</v>
      </c>
      <c r="G37" s="166">
        <v>194.12639999999999</v>
      </c>
      <c r="H37" s="132">
        <f t="shared" si="1"/>
        <v>2911.8959999999997</v>
      </c>
      <c r="I37" s="131"/>
      <c r="J37" s="166"/>
      <c r="K37" s="166"/>
      <c r="L37" s="131">
        <f t="shared" si="2"/>
        <v>332.39</v>
      </c>
      <c r="M37" s="167"/>
      <c r="N37" s="167"/>
      <c r="O37" s="132">
        <f t="shared" si="0"/>
        <v>3244.2859999999996</v>
      </c>
      <c r="P37" s="131">
        <v>248.9</v>
      </c>
      <c r="Q37" s="166"/>
      <c r="R37" s="168">
        <v>50</v>
      </c>
      <c r="S37" s="168"/>
      <c r="T37" s="166"/>
      <c r="U37" s="166"/>
      <c r="V37" s="132">
        <f t="shared" si="3"/>
        <v>298.89999999999998</v>
      </c>
      <c r="W37" s="135">
        <f t="shared" si="4"/>
        <v>2945.3859999999995</v>
      </c>
      <c r="X37" s="166">
        <v>332.39</v>
      </c>
      <c r="Y37" s="131"/>
      <c r="Z37" s="136"/>
    </row>
    <row r="38" spans="1:26" s="137" customFormat="1" ht="9" customHeight="1" x14ac:dyDescent="0.3">
      <c r="A38" s="4" t="s">
        <v>94</v>
      </c>
      <c r="B38" s="73" t="s">
        <v>67</v>
      </c>
      <c r="C38" s="73" t="s">
        <v>97</v>
      </c>
      <c r="D38" s="73"/>
      <c r="E38" s="130">
        <v>2</v>
      </c>
      <c r="F38" s="139" t="s">
        <v>98</v>
      </c>
      <c r="G38" s="139">
        <v>1109.3399999999999</v>
      </c>
      <c r="H38" s="132">
        <f t="shared" si="1"/>
        <v>16640.099999999999</v>
      </c>
      <c r="I38" s="131"/>
      <c r="J38" s="139"/>
      <c r="K38" s="139"/>
      <c r="L38" s="131">
        <f t="shared" si="2"/>
        <v>0</v>
      </c>
      <c r="M38" s="139"/>
      <c r="N38" s="139"/>
      <c r="O38" s="132">
        <f t="shared" si="0"/>
        <v>16640.099999999999</v>
      </c>
      <c r="P38" s="139">
        <v>3176.71</v>
      </c>
      <c r="Q38" s="139"/>
      <c r="R38" s="156"/>
      <c r="S38" s="156"/>
      <c r="T38" s="139"/>
      <c r="U38" s="139"/>
      <c r="V38" s="132">
        <f t="shared" si="3"/>
        <v>3176.71</v>
      </c>
      <c r="W38" s="135">
        <f t="shared" si="4"/>
        <v>13463.39</v>
      </c>
      <c r="X38" s="139"/>
      <c r="Y38" s="139"/>
      <c r="Z38" s="136"/>
    </row>
    <row r="39" spans="1:26" s="137" customFormat="1" ht="9" customHeight="1" x14ac:dyDescent="0.3">
      <c r="A39" s="4" t="s">
        <v>23</v>
      </c>
      <c r="B39" s="73" t="s">
        <v>58</v>
      </c>
      <c r="C39" s="73" t="s">
        <v>99</v>
      </c>
      <c r="D39" s="73"/>
      <c r="E39" s="130">
        <v>1</v>
      </c>
      <c r="F39" s="133" t="s">
        <v>100</v>
      </c>
      <c r="G39" s="169">
        <v>130</v>
      </c>
      <c r="H39" s="132">
        <f t="shared" si="1"/>
        <v>1950</v>
      </c>
      <c r="I39" s="131"/>
      <c r="J39" s="133"/>
      <c r="K39" s="133">
        <v>260</v>
      </c>
      <c r="L39" s="131">
        <f t="shared" si="2"/>
        <v>818</v>
      </c>
      <c r="M39" s="132"/>
      <c r="N39" s="133"/>
      <c r="O39" s="132">
        <f t="shared" si="0"/>
        <v>3028</v>
      </c>
      <c r="P39" s="139">
        <v>225.36</v>
      </c>
      <c r="Q39" s="133"/>
      <c r="R39" s="141"/>
      <c r="S39" s="141"/>
      <c r="T39" s="133"/>
      <c r="U39" s="133"/>
      <c r="V39" s="132">
        <f t="shared" si="3"/>
        <v>225.36</v>
      </c>
      <c r="W39" s="135">
        <f t="shared" si="4"/>
        <v>2802.64</v>
      </c>
      <c r="X39" s="133">
        <v>818</v>
      </c>
      <c r="Y39" s="133"/>
      <c r="Z39" s="136"/>
    </row>
    <row r="40" spans="1:26" s="137" customFormat="1" ht="9" customHeight="1" x14ac:dyDescent="0.3">
      <c r="A40" s="4" t="s">
        <v>23</v>
      </c>
      <c r="B40" s="73" t="s">
        <v>58</v>
      </c>
      <c r="C40" s="73" t="s">
        <v>17</v>
      </c>
      <c r="D40" s="73"/>
      <c r="E40" s="130">
        <v>2</v>
      </c>
      <c r="F40" s="170" t="s">
        <v>101</v>
      </c>
      <c r="G40" s="169">
        <v>140</v>
      </c>
      <c r="H40" s="132">
        <f t="shared" si="1"/>
        <v>2100</v>
      </c>
      <c r="I40" s="131"/>
      <c r="J40" s="133"/>
      <c r="K40" s="133">
        <f>G40*4</f>
        <v>560</v>
      </c>
      <c r="L40" s="131">
        <f t="shared" si="2"/>
        <v>0</v>
      </c>
      <c r="M40" s="132"/>
      <c r="N40" s="133"/>
      <c r="O40" s="132">
        <f t="shared" si="0"/>
        <v>2660</v>
      </c>
      <c r="P40" s="139">
        <v>185.32</v>
      </c>
      <c r="Q40" s="133"/>
      <c r="R40" s="141"/>
      <c r="S40" s="141"/>
      <c r="T40" s="133"/>
      <c r="U40" s="133"/>
      <c r="V40" s="132">
        <f t="shared" si="3"/>
        <v>185.32</v>
      </c>
      <c r="W40" s="135">
        <f t="shared" si="4"/>
        <v>2474.6799999999998</v>
      </c>
      <c r="X40" s="133"/>
      <c r="Y40" s="133"/>
      <c r="Z40" s="136"/>
    </row>
    <row r="41" spans="1:26" s="137" customFormat="1" ht="9" customHeight="1" x14ac:dyDescent="0.25">
      <c r="A41" s="4" t="s">
        <v>23</v>
      </c>
      <c r="B41" s="73" t="s">
        <v>58</v>
      </c>
      <c r="C41" s="73" t="s">
        <v>102</v>
      </c>
      <c r="D41" s="73"/>
      <c r="E41" s="130">
        <v>3</v>
      </c>
      <c r="F41" s="165" t="s">
        <v>103</v>
      </c>
      <c r="G41" s="158">
        <v>547.05999999999995</v>
      </c>
      <c r="H41" s="132">
        <f t="shared" si="1"/>
        <v>8205.9</v>
      </c>
      <c r="I41" s="131"/>
      <c r="J41" s="133"/>
      <c r="K41" s="133"/>
      <c r="L41" s="131">
        <f t="shared" si="2"/>
        <v>0</v>
      </c>
      <c r="M41" s="132"/>
      <c r="N41" s="133">
        <v>0</v>
      </c>
      <c r="O41" s="132">
        <f t="shared" si="0"/>
        <v>8205.9</v>
      </c>
      <c r="P41" s="139">
        <v>1205.5899999999999</v>
      </c>
      <c r="Q41" s="133"/>
      <c r="R41" s="141"/>
      <c r="S41" s="141"/>
      <c r="T41" s="133"/>
      <c r="U41" s="133"/>
      <c r="V41" s="132">
        <f t="shared" si="3"/>
        <v>1205.5899999999999</v>
      </c>
      <c r="W41" s="135">
        <f t="shared" si="4"/>
        <v>7000.3099999999995</v>
      </c>
      <c r="X41" s="133"/>
      <c r="Y41" s="133"/>
      <c r="Z41" s="136"/>
    </row>
    <row r="42" spans="1:26" s="137" customFormat="1" ht="9" customHeight="1" x14ac:dyDescent="0.3">
      <c r="A42" s="4" t="s">
        <v>24</v>
      </c>
      <c r="B42" s="73" t="s">
        <v>58</v>
      </c>
      <c r="C42" s="73" t="s">
        <v>25</v>
      </c>
      <c r="D42" s="73"/>
      <c r="E42" s="130">
        <v>1</v>
      </c>
      <c r="F42" s="132" t="s">
        <v>104</v>
      </c>
      <c r="G42" s="132">
        <v>104</v>
      </c>
      <c r="H42" s="132">
        <f t="shared" si="1"/>
        <v>1560</v>
      </c>
      <c r="I42" s="131"/>
      <c r="J42" s="133"/>
      <c r="K42" s="132">
        <f>G42</f>
        <v>104</v>
      </c>
      <c r="L42" s="131">
        <f t="shared" si="2"/>
        <v>100</v>
      </c>
      <c r="M42" s="132"/>
      <c r="N42" s="132">
        <v>0</v>
      </c>
      <c r="O42" s="132">
        <f t="shared" si="0"/>
        <v>1764</v>
      </c>
      <c r="P42" s="131">
        <v>101.88</v>
      </c>
      <c r="Q42" s="171"/>
      <c r="R42" s="153"/>
      <c r="S42" s="153"/>
      <c r="T42" s="132">
        <v>0</v>
      </c>
      <c r="U42" s="132"/>
      <c r="V42" s="132">
        <f t="shared" si="3"/>
        <v>101.88</v>
      </c>
      <c r="W42" s="135">
        <f t="shared" si="4"/>
        <v>1662.12</v>
      </c>
      <c r="X42" s="132">
        <v>100</v>
      </c>
      <c r="Y42" s="132"/>
      <c r="Z42" s="136"/>
    </row>
    <row r="43" spans="1:26" s="137" customFormat="1" ht="9" customHeight="1" x14ac:dyDescent="0.3">
      <c r="A43" s="4" t="s">
        <v>24</v>
      </c>
      <c r="B43" s="73" t="s">
        <v>58</v>
      </c>
      <c r="C43" s="73" t="s">
        <v>45</v>
      </c>
      <c r="D43" s="73"/>
      <c r="E43" s="130">
        <v>2</v>
      </c>
      <c r="F43" s="131" t="s">
        <v>105</v>
      </c>
      <c r="G43" s="131">
        <v>207.5</v>
      </c>
      <c r="H43" s="132">
        <f t="shared" si="1"/>
        <v>3112.5</v>
      </c>
      <c r="I43" s="131"/>
      <c r="J43" s="133"/>
      <c r="K43" s="132"/>
      <c r="L43" s="131">
        <f t="shared" si="2"/>
        <v>1100</v>
      </c>
      <c r="M43" s="132"/>
      <c r="N43" s="132"/>
      <c r="O43" s="132">
        <f t="shared" si="0"/>
        <v>4212.5</v>
      </c>
      <c r="P43" s="131">
        <v>383.09</v>
      </c>
      <c r="Q43" s="171">
        <v>1500</v>
      </c>
      <c r="R43" s="134"/>
      <c r="S43" s="134"/>
      <c r="T43" s="131">
        <v>0</v>
      </c>
      <c r="U43" s="172"/>
      <c r="V43" s="132">
        <f t="shared" si="3"/>
        <v>1883.09</v>
      </c>
      <c r="W43" s="135">
        <f t="shared" si="4"/>
        <v>2329.41</v>
      </c>
      <c r="X43" s="131">
        <v>600</v>
      </c>
      <c r="Y43" s="131">
        <v>500</v>
      </c>
      <c r="Z43" s="136"/>
    </row>
    <row r="44" spans="1:26" s="137" customFormat="1" ht="9" customHeight="1" x14ac:dyDescent="0.25">
      <c r="A44" s="4" t="s">
        <v>24</v>
      </c>
      <c r="B44" s="73" t="s">
        <v>58</v>
      </c>
      <c r="C44" s="73" t="s">
        <v>25</v>
      </c>
      <c r="D44" s="73"/>
      <c r="E44" s="130">
        <v>3</v>
      </c>
      <c r="F44" s="131" t="s">
        <v>106</v>
      </c>
      <c r="G44" s="131">
        <v>100.017</v>
      </c>
      <c r="H44" s="132">
        <f t="shared" si="1"/>
        <v>1500.2549999999999</v>
      </c>
      <c r="I44" s="131"/>
      <c r="J44" s="133"/>
      <c r="K44" s="132">
        <f t="shared" ref="K44:K46" si="5">G44</f>
        <v>100.017</v>
      </c>
      <c r="L44" s="131">
        <f t="shared" si="2"/>
        <v>100</v>
      </c>
      <c r="M44" s="132"/>
      <c r="N44" s="132"/>
      <c r="O44" s="132">
        <f t="shared" si="0"/>
        <v>1700.2719999999999</v>
      </c>
      <c r="P44" s="131">
        <v>97.8</v>
      </c>
      <c r="Q44" s="132"/>
      <c r="R44" s="134"/>
      <c r="S44" s="134"/>
      <c r="T44" s="131"/>
      <c r="U44" s="131"/>
      <c r="V44" s="132">
        <f t="shared" si="3"/>
        <v>97.8</v>
      </c>
      <c r="W44" s="135">
        <f t="shared" si="4"/>
        <v>1602.472</v>
      </c>
      <c r="X44" s="131">
        <v>100</v>
      </c>
      <c r="Y44" s="131"/>
      <c r="Z44" s="136"/>
    </row>
    <row r="45" spans="1:26" s="137" customFormat="1" ht="9" customHeight="1" x14ac:dyDescent="0.25">
      <c r="A45" s="4" t="s">
        <v>24</v>
      </c>
      <c r="B45" s="73" t="s">
        <v>58</v>
      </c>
      <c r="C45" s="73" t="s">
        <v>25</v>
      </c>
      <c r="D45" s="73"/>
      <c r="E45" s="130">
        <v>4</v>
      </c>
      <c r="F45" s="133" t="s">
        <v>107</v>
      </c>
      <c r="G45" s="133">
        <v>138.68</v>
      </c>
      <c r="H45" s="132">
        <f t="shared" si="1"/>
        <v>2080.2000000000003</v>
      </c>
      <c r="I45" s="131"/>
      <c r="J45" s="133"/>
      <c r="K45" s="132">
        <f t="shared" si="5"/>
        <v>138.68</v>
      </c>
      <c r="L45" s="131">
        <f t="shared" si="2"/>
        <v>140</v>
      </c>
      <c r="M45" s="132"/>
      <c r="N45" s="132">
        <v>0</v>
      </c>
      <c r="O45" s="132">
        <f t="shared" si="0"/>
        <v>2358.88</v>
      </c>
      <c r="P45" s="131">
        <v>152.56</v>
      </c>
      <c r="Q45" s="133"/>
      <c r="R45" s="141"/>
      <c r="S45" s="141"/>
      <c r="T45" s="133"/>
      <c r="U45" s="133"/>
      <c r="V45" s="132">
        <f t="shared" si="3"/>
        <v>152.56</v>
      </c>
      <c r="W45" s="135">
        <f t="shared" si="4"/>
        <v>2206.3200000000002</v>
      </c>
      <c r="X45" s="133">
        <v>140</v>
      </c>
      <c r="Y45" s="133"/>
      <c r="Z45" s="136"/>
    </row>
    <row r="46" spans="1:26" s="137" customFormat="1" ht="9" customHeight="1" x14ac:dyDescent="0.25">
      <c r="A46" s="4" t="s">
        <v>24</v>
      </c>
      <c r="B46" s="73" t="s">
        <v>58</v>
      </c>
      <c r="C46" s="73" t="s">
        <v>25</v>
      </c>
      <c r="D46" s="73"/>
      <c r="E46" s="130">
        <v>5</v>
      </c>
      <c r="F46" s="133" t="s">
        <v>108</v>
      </c>
      <c r="G46" s="133">
        <v>138.68</v>
      </c>
      <c r="H46" s="132">
        <f t="shared" si="1"/>
        <v>2080.2000000000003</v>
      </c>
      <c r="I46" s="131"/>
      <c r="J46" s="133"/>
      <c r="K46" s="132">
        <f t="shared" si="5"/>
        <v>138.68</v>
      </c>
      <c r="L46" s="131">
        <f t="shared" si="2"/>
        <v>140</v>
      </c>
      <c r="M46" s="132"/>
      <c r="N46" s="132">
        <v>0</v>
      </c>
      <c r="O46" s="132">
        <f t="shared" si="0"/>
        <v>2358.88</v>
      </c>
      <c r="P46" s="131">
        <v>152.56</v>
      </c>
      <c r="Q46" s="133"/>
      <c r="R46" s="141"/>
      <c r="S46" s="141"/>
      <c r="T46" s="133"/>
      <c r="U46" s="133"/>
      <c r="V46" s="132">
        <f t="shared" si="3"/>
        <v>152.56</v>
      </c>
      <c r="W46" s="135">
        <f t="shared" si="4"/>
        <v>2206.3200000000002</v>
      </c>
      <c r="X46" s="133">
        <v>140</v>
      </c>
      <c r="Y46" s="133"/>
      <c r="Z46" s="136"/>
    </row>
    <row r="47" spans="1:26" s="137" customFormat="1" ht="9" customHeight="1" x14ac:dyDescent="0.25">
      <c r="A47" s="4" t="s">
        <v>24</v>
      </c>
      <c r="B47" s="73" t="s">
        <v>58</v>
      </c>
      <c r="C47" s="73" t="s">
        <v>45</v>
      </c>
      <c r="D47" s="73"/>
      <c r="E47" s="130">
        <v>6</v>
      </c>
      <c r="F47" s="131" t="s">
        <v>109</v>
      </c>
      <c r="G47" s="131">
        <v>255</v>
      </c>
      <c r="H47" s="132">
        <f t="shared" si="1"/>
        <v>3825</v>
      </c>
      <c r="I47" s="131"/>
      <c r="J47" s="133"/>
      <c r="K47" s="132"/>
      <c r="L47" s="131">
        <f t="shared" si="2"/>
        <v>1100</v>
      </c>
      <c r="M47" s="132"/>
      <c r="N47" s="132"/>
      <c r="O47" s="132">
        <f t="shared" si="0"/>
        <v>4925</v>
      </c>
      <c r="P47" s="131">
        <v>510.07</v>
      </c>
      <c r="Q47" s="131"/>
      <c r="R47" s="134"/>
      <c r="S47" s="134"/>
      <c r="T47" s="131"/>
      <c r="U47" s="131"/>
      <c r="V47" s="132">
        <f t="shared" si="3"/>
        <v>510.07</v>
      </c>
      <c r="W47" s="135">
        <f t="shared" si="4"/>
        <v>4414.93</v>
      </c>
      <c r="X47" s="131">
        <v>600</v>
      </c>
      <c r="Y47" s="131">
        <v>500</v>
      </c>
      <c r="Z47" s="136"/>
    </row>
    <row r="48" spans="1:26" s="137" customFormat="1" ht="9" customHeight="1" x14ac:dyDescent="0.25">
      <c r="A48" s="4" t="s">
        <v>24</v>
      </c>
      <c r="B48" s="73" t="s">
        <v>58</v>
      </c>
      <c r="C48" s="73" t="s">
        <v>110</v>
      </c>
      <c r="D48" s="73"/>
      <c r="E48" s="130">
        <v>7</v>
      </c>
      <c r="F48" s="133" t="s">
        <v>111</v>
      </c>
      <c r="G48" s="133">
        <v>179.92000000000002</v>
      </c>
      <c r="H48" s="132">
        <f t="shared" si="1"/>
        <v>2698.8</v>
      </c>
      <c r="I48" s="131"/>
      <c r="J48" s="133"/>
      <c r="K48" s="131">
        <f>G48*5.5</f>
        <v>989.56000000000006</v>
      </c>
      <c r="L48" s="131">
        <f t="shared" si="2"/>
        <v>145</v>
      </c>
      <c r="M48" s="132"/>
      <c r="N48" s="132">
        <v>0</v>
      </c>
      <c r="O48" s="132">
        <f t="shared" si="0"/>
        <v>3833.36</v>
      </c>
      <c r="P48" s="131">
        <v>322.43</v>
      </c>
      <c r="Q48" s="133"/>
      <c r="R48" s="141">
        <v>48.76</v>
      </c>
      <c r="S48" s="141"/>
      <c r="T48" s="133"/>
      <c r="U48" s="133"/>
      <c r="V48" s="132">
        <f t="shared" si="3"/>
        <v>371.19</v>
      </c>
      <c r="W48" s="135">
        <f t="shared" si="4"/>
        <v>3462.17</v>
      </c>
      <c r="X48" s="133">
        <v>145</v>
      </c>
      <c r="Y48" s="133"/>
      <c r="Z48" s="136"/>
    </row>
    <row r="49" spans="1:26" s="137" customFormat="1" ht="9" customHeight="1" x14ac:dyDescent="0.25">
      <c r="A49" s="4" t="s">
        <v>24</v>
      </c>
      <c r="B49" s="73" t="s">
        <v>58</v>
      </c>
      <c r="C49" s="73" t="s">
        <v>112</v>
      </c>
      <c r="D49" s="73"/>
      <c r="E49" s="130">
        <v>8</v>
      </c>
      <c r="F49" s="133" t="s">
        <v>113</v>
      </c>
      <c r="G49" s="132">
        <v>173.34</v>
      </c>
      <c r="H49" s="132">
        <f t="shared" si="1"/>
        <v>2600.1</v>
      </c>
      <c r="I49" s="131"/>
      <c r="J49" s="133"/>
      <c r="K49" s="131"/>
      <c r="L49" s="131">
        <f t="shared" si="2"/>
        <v>1700</v>
      </c>
      <c r="M49" s="132"/>
      <c r="N49" s="132">
        <v>0</v>
      </c>
      <c r="O49" s="132">
        <f t="shared" si="0"/>
        <v>4300.1000000000004</v>
      </c>
      <c r="P49" s="131">
        <v>398.08</v>
      </c>
      <c r="Q49" s="133"/>
      <c r="R49" s="141"/>
      <c r="S49" s="141"/>
      <c r="T49" s="133"/>
      <c r="U49" s="133"/>
      <c r="V49" s="132">
        <f t="shared" si="3"/>
        <v>398.08</v>
      </c>
      <c r="W49" s="135">
        <f t="shared" si="4"/>
        <v>3902.0200000000004</v>
      </c>
      <c r="X49" s="133">
        <v>1700</v>
      </c>
      <c r="Y49" s="133"/>
      <c r="Z49" s="136"/>
    </row>
    <row r="50" spans="1:26" s="137" customFormat="1" ht="9" customHeight="1" x14ac:dyDescent="0.25">
      <c r="A50" s="4" t="s">
        <v>24</v>
      </c>
      <c r="B50" s="73" t="s">
        <v>58</v>
      </c>
      <c r="C50" s="73" t="s">
        <v>50</v>
      </c>
      <c r="D50" s="73"/>
      <c r="E50" s="130">
        <v>9</v>
      </c>
      <c r="F50" s="133" t="s">
        <v>114</v>
      </c>
      <c r="G50" s="133">
        <v>124.80000000000001</v>
      </c>
      <c r="H50" s="132">
        <f t="shared" si="1"/>
        <v>1872.0000000000002</v>
      </c>
      <c r="I50" s="131"/>
      <c r="J50" s="133"/>
      <c r="K50" s="131"/>
      <c r="L50" s="131">
        <f t="shared" si="2"/>
        <v>120</v>
      </c>
      <c r="M50" s="133"/>
      <c r="N50" s="133"/>
      <c r="O50" s="132">
        <f t="shared" si="0"/>
        <v>1992.0000000000002</v>
      </c>
      <c r="P50" s="139">
        <v>116.47</v>
      </c>
      <c r="Q50" s="133"/>
      <c r="R50" s="141"/>
      <c r="S50" s="141"/>
      <c r="T50" s="133"/>
      <c r="U50" s="133"/>
      <c r="V50" s="132">
        <f t="shared" si="3"/>
        <v>116.47</v>
      </c>
      <c r="W50" s="135">
        <f t="shared" si="4"/>
        <v>1875.5300000000002</v>
      </c>
      <c r="X50" s="133">
        <v>120</v>
      </c>
      <c r="Y50" s="133"/>
      <c r="Z50" s="136"/>
    </row>
    <row r="51" spans="1:26" s="137" customFormat="1" ht="9" customHeight="1" x14ac:dyDescent="0.25">
      <c r="A51" s="4" t="s">
        <v>24</v>
      </c>
      <c r="B51" s="73" t="s">
        <v>58</v>
      </c>
      <c r="C51" s="73" t="s">
        <v>115</v>
      </c>
      <c r="D51" s="73"/>
      <c r="E51" s="130">
        <v>10</v>
      </c>
      <c r="F51" s="133" t="s">
        <v>116</v>
      </c>
      <c r="G51" s="133">
        <v>200</v>
      </c>
      <c r="H51" s="132">
        <f t="shared" si="1"/>
        <v>3000</v>
      </c>
      <c r="I51" s="131"/>
      <c r="J51" s="133"/>
      <c r="K51" s="131"/>
      <c r="L51" s="131">
        <f t="shared" si="2"/>
        <v>1700</v>
      </c>
      <c r="M51" s="133"/>
      <c r="N51" s="133">
        <v>0</v>
      </c>
      <c r="O51" s="132">
        <f t="shared" si="0"/>
        <v>4700</v>
      </c>
      <c r="P51" s="139">
        <v>469.75</v>
      </c>
      <c r="Q51" s="139"/>
      <c r="R51" s="139"/>
      <c r="S51" s="139">
        <v>1656.84</v>
      </c>
      <c r="T51" s="139"/>
      <c r="U51" s="133"/>
      <c r="V51" s="132">
        <f t="shared" si="3"/>
        <v>2126.59</v>
      </c>
      <c r="W51" s="135">
        <f t="shared" si="4"/>
        <v>2573.41</v>
      </c>
      <c r="X51" s="133">
        <v>1700</v>
      </c>
      <c r="Y51" s="133"/>
      <c r="Z51" s="136"/>
    </row>
    <row r="52" spans="1:26" s="137" customFormat="1" ht="9" customHeight="1" x14ac:dyDescent="0.25">
      <c r="A52" s="4" t="s">
        <v>24</v>
      </c>
      <c r="B52" s="73" t="s">
        <v>58</v>
      </c>
      <c r="C52" s="73" t="s">
        <v>25</v>
      </c>
      <c r="D52" s="73"/>
      <c r="E52" s="130">
        <v>11</v>
      </c>
      <c r="F52" s="163" t="s">
        <v>117</v>
      </c>
      <c r="G52" s="141">
        <v>113.34</v>
      </c>
      <c r="H52" s="132">
        <f t="shared" si="1"/>
        <v>1700.1000000000001</v>
      </c>
      <c r="I52" s="131"/>
      <c r="J52" s="133"/>
      <c r="K52" s="131">
        <f t="shared" ref="K52:K55" si="6">G52</f>
        <v>113.34</v>
      </c>
      <c r="L52" s="131">
        <f t="shared" si="2"/>
        <v>893.38000000000011</v>
      </c>
      <c r="M52" s="133"/>
      <c r="N52" s="133"/>
      <c r="O52" s="132">
        <f t="shared" si="0"/>
        <v>2706.82</v>
      </c>
      <c r="P52" s="139">
        <v>190.42</v>
      </c>
      <c r="Q52" s="133"/>
      <c r="R52" s="141"/>
      <c r="S52" s="141"/>
      <c r="T52" s="133"/>
      <c r="U52" s="133"/>
      <c r="V52" s="132">
        <f t="shared" si="3"/>
        <v>190.42</v>
      </c>
      <c r="W52" s="135">
        <f t="shared" si="4"/>
        <v>2516.4</v>
      </c>
      <c r="X52" s="133">
        <v>893.38000000000011</v>
      </c>
      <c r="Y52" s="133"/>
      <c r="Z52" s="136"/>
    </row>
    <row r="53" spans="1:26" s="137" customFormat="1" ht="9" customHeight="1" x14ac:dyDescent="0.25">
      <c r="A53" s="4" t="s">
        <v>24</v>
      </c>
      <c r="B53" s="73" t="s">
        <v>58</v>
      </c>
      <c r="C53" s="73" t="s">
        <v>25</v>
      </c>
      <c r="D53" s="73"/>
      <c r="E53" s="148">
        <v>12</v>
      </c>
      <c r="F53" s="173" t="s">
        <v>234</v>
      </c>
      <c r="G53" s="149">
        <v>113.34</v>
      </c>
      <c r="H53" s="132">
        <f t="shared" si="1"/>
        <v>1700.1000000000001</v>
      </c>
      <c r="I53" s="131"/>
      <c r="J53" s="149"/>
      <c r="K53" s="131">
        <f t="shared" si="6"/>
        <v>113.34</v>
      </c>
      <c r="L53" s="131">
        <f t="shared" si="2"/>
        <v>893.38000000000011</v>
      </c>
      <c r="M53" s="149"/>
      <c r="N53" s="149"/>
      <c r="O53" s="132">
        <f t="shared" si="0"/>
        <v>2706.82</v>
      </c>
      <c r="P53" s="149">
        <v>190.42</v>
      </c>
      <c r="Q53" s="149"/>
      <c r="R53" s="151"/>
      <c r="S53" s="151"/>
      <c r="T53" s="149"/>
      <c r="U53" s="149"/>
      <c r="V53" s="132">
        <f t="shared" si="3"/>
        <v>190.42</v>
      </c>
      <c r="W53" s="135">
        <f t="shared" si="4"/>
        <v>2516.4</v>
      </c>
      <c r="X53" s="133">
        <v>893.38000000000011</v>
      </c>
      <c r="Y53" s="133"/>
      <c r="Z53" s="136"/>
    </row>
    <row r="54" spans="1:26" s="137" customFormat="1" ht="9" customHeight="1" x14ac:dyDescent="0.25">
      <c r="A54" s="4" t="s">
        <v>24</v>
      </c>
      <c r="B54" s="73" t="s">
        <v>58</v>
      </c>
      <c r="C54" s="73" t="s">
        <v>25</v>
      </c>
      <c r="D54" s="73"/>
      <c r="E54" s="148">
        <v>13</v>
      </c>
      <c r="F54" s="173" t="s">
        <v>242</v>
      </c>
      <c r="G54" s="149">
        <v>138.68</v>
      </c>
      <c r="H54" s="132">
        <f>G54*15</f>
        <v>2080.2000000000003</v>
      </c>
      <c r="I54" s="131">
        <f t="shared" ref="I54" si="7">G54</f>
        <v>138.68</v>
      </c>
      <c r="J54" s="149"/>
      <c r="K54" s="131">
        <f t="shared" ref="K54" si="8">G54</f>
        <v>138.68</v>
      </c>
      <c r="L54" s="131">
        <f t="shared" ref="L54" si="9">Y54+X54</f>
        <v>0</v>
      </c>
      <c r="M54" s="149"/>
      <c r="N54" s="149"/>
      <c r="O54" s="132">
        <f t="shared" ref="O54" si="10">SUM(H54:N54)</f>
        <v>2357.56</v>
      </c>
      <c r="P54" s="149">
        <v>152.41999999999999</v>
      </c>
      <c r="Q54" s="149"/>
      <c r="R54" s="151"/>
      <c r="S54" s="151"/>
      <c r="T54" s="149"/>
      <c r="U54" s="149"/>
      <c r="V54" s="132">
        <f t="shared" ref="V54" si="11">SUM(P54:U54)</f>
        <v>152.41999999999999</v>
      </c>
      <c r="W54" s="135">
        <f t="shared" ref="W54" si="12">O54-V54</f>
        <v>2205.14</v>
      </c>
      <c r="X54" s="133">
        <v>0</v>
      </c>
      <c r="Y54" s="133"/>
      <c r="Z54" s="136"/>
    </row>
    <row r="55" spans="1:26" s="137" customFormat="1" ht="9" customHeight="1" x14ac:dyDescent="0.25">
      <c r="A55" s="4" t="s">
        <v>24</v>
      </c>
      <c r="B55" s="73" t="s">
        <v>58</v>
      </c>
      <c r="C55" s="73" t="s">
        <v>25</v>
      </c>
      <c r="D55" s="73"/>
      <c r="E55" s="148">
        <v>13</v>
      </c>
      <c r="F55" s="173" t="s">
        <v>293</v>
      </c>
      <c r="G55" s="149"/>
      <c r="H55" s="132">
        <f>G55*15</f>
        <v>0</v>
      </c>
      <c r="I55" s="131">
        <f t="shared" ref="I55" si="13">G55</f>
        <v>0</v>
      </c>
      <c r="J55" s="149"/>
      <c r="K55" s="131">
        <f t="shared" si="6"/>
        <v>0</v>
      </c>
      <c r="L55" s="131">
        <f t="shared" si="2"/>
        <v>0</v>
      </c>
      <c r="M55" s="149"/>
      <c r="N55" s="149"/>
      <c r="O55" s="132">
        <f t="shared" si="0"/>
        <v>0</v>
      </c>
      <c r="P55" s="149"/>
      <c r="Q55" s="149"/>
      <c r="R55" s="151"/>
      <c r="S55" s="151"/>
      <c r="T55" s="149"/>
      <c r="U55" s="149"/>
      <c r="V55" s="132">
        <f t="shared" si="3"/>
        <v>0</v>
      </c>
      <c r="W55" s="135">
        <f t="shared" si="4"/>
        <v>0</v>
      </c>
      <c r="X55" s="133">
        <v>0</v>
      </c>
      <c r="Y55" s="133"/>
      <c r="Z55" s="136"/>
    </row>
    <row r="56" spans="1:26" x14ac:dyDescent="0.25">
      <c r="A56" s="4" t="s">
        <v>119</v>
      </c>
      <c r="B56" s="73" t="s">
        <v>58</v>
      </c>
      <c r="C56" s="73" t="s">
        <v>25</v>
      </c>
      <c r="D56" s="73"/>
      <c r="E56" s="175">
        <v>1</v>
      </c>
      <c r="F56" s="133" t="s">
        <v>120</v>
      </c>
      <c r="G56" s="133">
        <v>100.02</v>
      </c>
      <c r="H56" s="133">
        <f>G56*15</f>
        <v>1500.3</v>
      </c>
      <c r="I56" s="133"/>
      <c r="J56" s="133"/>
      <c r="K56" s="133"/>
      <c r="L56" s="139">
        <f t="shared" ref="L56:L67" si="14">X56+Y56</f>
        <v>100</v>
      </c>
      <c r="M56" s="133"/>
      <c r="N56" s="133"/>
      <c r="O56" s="133">
        <f t="shared" ref="O56:O67" si="15">SUM(H56:N56)</f>
        <v>1600.3</v>
      </c>
      <c r="P56" s="133">
        <v>91.4</v>
      </c>
      <c r="Q56" s="133"/>
      <c r="R56" s="141">
        <v>36.06</v>
      </c>
      <c r="S56" s="141"/>
      <c r="T56" s="133"/>
      <c r="U56" s="133"/>
      <c r="V56" s="133">
        <f>SUM(P56:U56)</f>
        <v>127.46000000000001</v>
      </c>
      <c r="W56" s="176">
        <f t="shared" ref="W56:W67" si="16">O56-V56</f>
        <v>1472.84</v>
      </c>
      <c r="X56" s="177">
        <v>100</v>
      </c>
      <c r="Y56" s="133">
        <v>0</v>
      </c>
      <c r="Z56"/>
    </row>
    <row r="57" spans="1:26" ht="15.75" thickBot="1" x14ac:dyDescent="0.3">
      <c r="A57" s="184" t="str">
        <f>A56</f>
        <v xml:space="preserve">COYOTE </v>
      </c>
      <c r="B57" s="184"/>
      <c r="C57" s="184"/>
      <c r="D57" s="184"/>
      <c r="E57" s="175">
        <v>2</v>
      </c>
      <c r="F57" s="133" t="s">
        <v>121</v>
      </c>
      <c r="G57" s="133">
        <v>100.02</v>
      </c>
      <c r="H57" s="133">
        <f t="shared" ref="H57:H67" si="17">G57*15</f>
        <v>1500.3</v>
      </c>
      <c r="I57" s="133"/>
      <c r="J57" s="133">
        <f t="shared" ref="J57:J61" si="18">G57*2</f>
        <v>200.04</v>
      </c>
      <c r="K57" s="140"/>
      <c r="L57" s="139">
        <f t="shared" si="14"/>
        <v>100</v>
      </c>
      <c r="M57" s="133"/>
      <c r="N57" s="133"/>
      <c r="O57" s="133">
        <f t="shared" si="15"/>
        <v>1800.34</v>
      </c>
      <c r="P57" s="133">
        <v>104.2</v>
      </c>
      <c r="Q57" s="133">
        <v>0</v>
      </c>
      <c r="R57" s="141"/>
      <c r="S57" s="141"/>
      <c r="T57" s="133"/>
      <c r="U57" s="133"/>
      <c r="V57" s="133">
        <f t="shared" ref="V57:V67" si="19">SUM(P57:U57)</f>
        <v>104.2</v>
      </c>
      <c r="W57" s="176">
        <f t="shared" si="16"/>
        <v>1696.1399999999999</v>
      </c>
      <c r="X57" s="133">
        <v>100</v>
      </c>
      <c r="Y57" s="133">
        <v>0</v>
      </c>
      <c r="Z57"/>
    </row>
    <row r="58" spans="1:26" ht="15.75" thickTop="1" x14ac:dyDescent="0.25">
      <c r="E58" s="175">
        <v>3</v>
      </c>
      <c r="F58" s="132" t="s">
        <v>122</v>
      </c>
      <c r="G58" s="132">
        <v>100.02</v>
      </c>
      <c r="H58" s="133">
        <f t="shared" si="17"/>
        <v>1500.3</v>
      </c>
      <c r="I58" s="133"/>
      <c r="J58" s="133">
        <f t="shared" si="18"/>
        <v>200.04</v>
      </c>
      <c r="K58" s="140"/>
      <c r="L58" s="139">
        <f t="shared" si="14"/>
        <v>100</v>
      </c>
      <c r="M58" s="132"/>
      <c r="N58" s="133"/>
      <c r="O58" s="133">
        <f t="shared" si="15"/>
        <v>1800.34</v>
      </c>
      <c r="P58" s="133">
        <v>14.2</v>
      </c>
      <c r="Q58" s="133"/>
      <c r="R58" s="141">
        <v>36.06</v>
      </c>
      <c r="S58" s="141"/>
      <c r="T58" s="133"/>
      <c r="U58" s="133"/>
      <c r="V58" s="133">
        <f t="shared" si="19"/>
        <v>50.260000000000005</v>
      </c>
      <c r="W58" s="176">
        <f t="shared" si="16"/>
        <v>1750.08</v>
      </c>
      <c r="X58" s="132">
        <v>100</v>
      </c>
      <c r="Y58" s="132">
        <v>0</v>
      </c>
      <c r="Z58"/>
    </row>
    <row r="59" spans="1:26" ht="11.25" customHeight="1" x14ac:dyDescent="0.25">
      <c r="E59" s="175">
        <v>4</v>
      </c>
      <c r="F59" s="132" t="s">
        <v>123</v>
      </c>
      <c r="G59" s="132">
        <v>100.02</v>
      </c>
      <c r="H59" s="133">
        <f t="shared" si="17"/>
        <v>1500.3</v>
      </c>
      <c r="I59" s="133"/>
      <c r="J59" s="133">
        <f t="shared" si="18"/>
        <v>200.04</v>
      </c>
      <c r="K59" s="140"/>
      <c r="L59" s="139">
        <f t="shared" si="14"/>
        <v>100</v>
      </c>
      <c r="M59" s="132"/>
      <c r="N59" s="133"/>
      <c r="O59" s="133">
        <f t="shared" si="15"/>
        <v>1800.34</v>
      </c>
      <c r="P59" s="133">
        <v>104.2</v>
      </c>
      <c r="Q59" s="133"/>
      <c r="R59" s="141">
        <v>36.06</v>
      </c>
      <c r="S59" s="141"/>
      <c r="T59" s="133"/>
      <c r="U59" s="133"/>
      <c r="V59" s="133">
        <f t="shared" si="19"/>
        <v>140.26</v>
      </c>
      <c r="W59" s="176">
        <f t="shared" si="16"/>
        <v>1660.08</v>
      </c>
      <c r="X59" s="132">
        <v>100</v>
      </c>
      <c r="Y59" s="132">
        <v>0</v>
      </c>
      <c r="Z59"/>
    </row>
    <row r="60" spans="1:26" ht="11.25" customHeight="1" x14ac:dyDescent="0.25">
      <c r="A60" s="106"/>
      <c r="B60" s="106"/>
      <c r="C60" s="106"/>
      <c r="D60" s="106"/>
      <c r="E60" s="175">
        <v>5</v>
      </c>
      <c r="F60" s="131" t="s">
        <v>125</v>
      </c>
      <c r="G60" s="131">
        <v>569.58000000000004</v>
      </c>
      <c r="H60" s="133">
        <f t="shared" si="17"/>
        <v>8543.7000000000007</v>
      </c>
      <c r="I60" s="133"/>
      <c r="J60" s="133">
        <f t="shared" si="18"/>
        <v>1139.1600000000001</v>
      </c>
      <c r="K60" s="140"/>
      <c r="L60" s="139">
        <f t="shared" si="14"/>
        <v>1000</v>
      </c>
      <c r="M60" s="131"/>
      <c r="N60" s="133"/>
      <c r="O60" s="133">
        <f t="shared" si="15"/>
        <v>10682.86</v>
      </c>
      <c r="P60" s="139">
        <v>1743.92</v>
      </c>
      <c r="Q60" s="139"/>
      <c r="R60" s="156"/>
      <c r="S60" s="156"/>
      <c r="T60" s="139"/>
      <c r="U60" s="139"/>
      <c r="V60" s="133">
        <f t="shared" si="19"/>
        <v>1743.92</v>
      </c>
      <c r="W60" s="176">
        <f t="shared" si="16"/>
        <v>8938.94</v>
      </c>
      <c r="X60" s="132">
        <v>1000</v>
      </c>
      <c r="Y60" s="131">
        <v>0</v>
      </c>
      <c r="Z60"/>
    </row>
    <row r="61" spans="1:26" ht="11.25" customHeight="1" x14ac:dyDescent="0.25">
      <c r="E61" s="175">
        <v>6</v>
      </c>
      <c r="F61" s="131" t="s">
        <v>126</v>
      </c>
      <c r="G61" s="131">
        <v>219.71</v>
      </c>
      <c r="H61" s="133">
        <f t="shared" si="17"/>
        <v>3295.65</v>
      </c>
      <c r="I61" s="133"/>
      <c r="J61" s="133">
        <f t="shared" si="18"/>
        <v>439.42</v>
      </c>
      <c r="K61" s="140"/>
      <c r="L61" s="139">
        <f t="shared" si="14"/>
        <v>850</v>
      </c>
      <c r="M61" s="131"/>
      <c r="N61" s="133"/>
      <c r="O61" s="133">
        <f t="shared" si="15"/>
        <v>4585.07</v>
      </c>
      <c r="P61" s="139">
        <v>449.15</v>
      </c>
      <c r="Q61" s="139"/>
      <c r="R61" s="156">
        <v>36.1</v>
      </c>
      <c r="S61" s="156"/>
      <c r="T61" s="139"/>
      <c r="U61" s="139"/>
      <c r="V61" s="133">
        <f t="shared" si="19"/>
        <v>485.25</v>
      </c>
      <c r="W61" s="176">
        <f t="shared" si="16"/>
        <v>4099.82</v>
      </c>
      <c r="X61" s="132">
        <v>850</v>
      </c>
      <c r="Y61" s="131"/>
      <c r="Z61"/>
    </row>
    <row r="62" spans="1:26" ht="11.25" customHeight="1" x14ac:dyDescent="0.25">
      <c r="E62" s="175">
        <v>7</v>
      </c>
      <c r="F62" s="133" t="s">
        <v>127</v>
      </c>
      <c r="G62" s="133">
        <v>100.09</v>
      </c>
      <c r="H62" s="133">
        <f t="shared" si="17"/>
        <v>1501.3500000000001</v>
      </c>
      <c r="I62" s="133"/>
      <c r="J62" s="133"/>
      <c r="K62" s="140"/>
      <c r="L62" s="139">
        <f t="shared" si="14"/>
        <v>100</v>
      </c>
      <c r="M62" s="133"/>
      <c r="N62" s="133"/>
      <c r="O62" s="133">
        <f t="shared" si="15"/>
        <v>1601.3500000000001</v>
      </c>
      <c r="P62" s="139">
        <v>91.47</v>
      </c>
      <c r="Q62" s="133"/>
      <c r="R62" s="141">
        <v>36.1</v>
      </c>
      <c r="S62" s="141"/>
      <c r="T62" s="133"/>
      <c r="U62" s="133"/>
      <c r="V62" s="133">
        <f t="shared" si="19"/>
        <v>127.57</v>
      </c>
      <c r="W62" s="176">
        <f t="shared" si="16"/>
        <v>1473.7800000000002</v>
      </c>
      <c r="X62" s="132">
        <v>100</v>
      </c>
      <c r="Y62" s="135"/>
      <c r="Z62"/>
    </row>
    <row r="63" spans="1:26" ht="11.25" customHeight="1" x14ac:dyDescent="0.25">
      <c r="E63" s="175">
        <v>8</v>
      </c>
      <c r="F63" s="133" t="s">
        <v>128</v>
      </c>
      <c r="G63" s="133">
        <v>124.80000000000001</v>
      </c>
      <c r="H63" s="133">
        <f t="shared" si="17"/>
        <v>1872.0000000000002</v>
      </c>
      <c r="I63" s="133"/>
      <c r="J63" s="133">
        <f t="shared" ref="J63" si="20">G63*2</f>
        <v>249.60000000000002</v>
      </c>
      <c r="K63" s="140"/>
      <c r="L63" s="139">
        <f t="shared" si="14"/>
        <v>100</v>
      </c>
      <c r="M63" s="133"/>
      <c r="N63" s="133"/>
      <c r="O63" s="133">
        <f t="shared" si="15"/>
        <v>2221.6000000000004</v>
      </c>
      <c r="P63" s="139">
        <v>137.63</v>
      </c>
      <c r="Q63" s="133"/>
      <c r="R63" s="141">
        <v>45</v>
      </c>
      <c r="S63" s="141"/>
      <c r="T63" s="133"/>
      <c r="U63" s="133"/>
      <c r="V63" s="133">
        <f t="shared" si="19"/>
        <v>182.63</v>
      </c>
      <c r="W63" s="176">
        <f t="shared" si="16"/>
        <v>2038.9700000000003</v>
      </c>
      <c r="X63" s="132">
        <v>100</v>
      </c>
      <c r="Y63" s="135"/>
      <c r="Z63"/>
    </row>
    <row r="64" spans="1:26" ht="11.25" customHeight="1" x14ac:dyDescent="0.25">
      <c r="E64" s="175">
        <v>9</v>
      </c>
      <c r="F64" s="132" t="s">
        <v>129</v>
      </c>
      <c r="G64" s="132">
        <v>100.02</v>
      </c>
      <c r="H64" s="133">
        <f t="shared" si="17"/>
        <v>1500.3</v>
      </c>
      <c r="I64" s="133"/>
      <c r="J64" s="133">
        <f>G64*2</f>
        <v>200.04</v>
      </c>
      <c r="K64" s="140"/>
      <c r="L64" s="139">
        <f t="shared" si="14"/>
        <v>100</v>
      </c>
      <c r="M64" s="132"/>
      <c r="N64" s="133"/>
      <c r="O64" s="133">
        <f t="shared" si="15"/>
        <v>1800.34</v>
      </c>
      <c r="P64" s="133">
        <v>104.2</v>
      </c>
      <c r="Q64" s="133"/>
      <c r="R64" s="141"/>
      <c r="S64" s="141"/>
      <c r="T64" s="133"/>
      <c r="U64" s="133"/>
      <c r="V64" s="133">
        <f t="shared" si="19"/>
        <v>104.2</v>
      </c>
      <c r="W64" s="176">
        <f t="shared" si="16"/>
        <v>1696.1399999999999</v>
      </c>
      <c r="X64" s="132">
        <v>100</v>
      </c>
      <c r="Y64" s="132">
        <v>0</v>
      </c>
      <c r="Z64"/>
    </row>
    <row r="65" spans="5:26" ht="11.25" customHeight="1" x14ac:dyDescent="0.25">
      <c r="E65" s="175">
        <v>10</v>
      </c>
      <c r="F65" s="133" t="s">
        <v>130</v>
      </c>
      <c r="G65" s="133">
        <v>100.02</v>
      </c>
      <c r="H65" s="133">
        <f t="shared" si="17"/>
        <v>1500.3</v>
      </c>
      <c r="I65" s="133"/>
      <c r="J65" s="133">
        <f>G65*2</f>
        <v>200.04</v>
      </c>
      <c r="K65" s="140"/>
      <c r="L65" s="139">
        <f t="shared" si="14"/>
        <v>100</v>
      </c>
      <c r="M65" s="133"/>
      <c r="N65" s="133"/>
      <c r="O65" s="133">
        <f t="shared" si="15"/>
        <v>1800.34</v>
      </c>
      <c r="P65" s="133">
        <v>104.2</v>
      </c>
      <c r="Q65" s="133"/>
      <c r="R65" s="141">
        <v>45</v>
      </c>
      <c r="S65" s="141"/>
      <c r="T65" s="133"/>
      <c r="U65" s="133"/>
      <c r="V65" s="133">
        <f t="shared" si="19"/>
        <v>149.19999999999999</v>
      </c>
      <c r="W65" s="176">
        <f t="shared" si="16"/>
        <v>1651.1399999999999</v>
      </c>
      <c r="X65" s="132">
        <v>100</v>
      </c>
      <c r="Y65" s="135"/>
      <c r="Z65"/>
    </row>
    <row r="66" spans="5:26" ht="11.25" customHeight="1" x14ac:dyDescent="0.25">
      <c r="E66" s="175">
        <v>11</v>
      </c>
      <c r="F66" s="149" t="s">
        <v>131</v>
      </c>
      <c r="G66" s="149">
        <v>216.66</v>
      </c>
      <c r="H66" s="133">
        <f t="shared" si="17"/>
        <v>3249.9</v>
      </c>
      <c r="I66" s="133"/>
      <c r="J66" s="150"/>
      <c r="K66" s="182"/>
      <c r="L66" s="139">
        <f t="shared" si="14"/>
        <v>0</v>
      </c>
      <c r="M66" s="149"/>
      <c r="N66" s="149"/>
      <c r="O66" s="133">
        <f t="shared" si="15"/>
        <v>3249.9</v>
      </c>
      <c r="P66" s="149">
        <v>249.51</v>
      </c>
      <c r="Q66" s="149">
        <v>200</v>
      </c>
      <c r="R66" s="151"/>
      <c r="S66" s="151"/>
      <c r="T66" s="149"/>
      <c r="U66" s="149"/>
      <c r="V66" s="133">
        <f t="shared" si="19"/>
        <v>449.51</v>
      </c>
      <c r="W66" s="176">
        <f t="shared" si="16"/>
        <v>2800.3900000000003</v>
      </c>
      <c r="X66" s="183"/>
      <c r="Y66" s="183"/>
      <c r="Z66"/>
    </row>
    <row r="67" spans="5:26" ht="11.25" customHeight="1" x14ac:dyDescent="0.25">
      <c r="E67" s="175">
        <v>12</v>
      </c>
      <c r="F67" s="149" t="s">
        <v>235</v>
      </c>
      <c r="G67" s="132">
        <v>100.02</v>
      </c>
      <c r="H67" s="133">
        <f t="shared" si="17"/>
        <v>1500.3</v>
      </c>
      <c r="I67" s="133"/>
      <c r="J67" s="150">
        <f>G67*2</f>
        <v>200.04</v>
      </c>
      <c r="K67" s="182"/>
      <c r="L67" s="139">
        <f t="shared" si="14"/>
        <v>250</v>
      </c>
      <c r="M67" s="149"/>
      <c r="N67" s="149"/>
      <c r="O67" s="133">
        <f t="shared" si="15"/>
        <v>1950.34</v>
      </c>
      <c r="P67" s="133">
        <v>113.8</v>
      </c>
      <c r="Q67" s="149"/>
      <c r="R67" s="151"/>
      <c r="S67" s="151"/>
      <c r="T67" s="149"/>
      <c r="U67" s="149"/>
      <c r="V67" s="133">
        <f t="shared" si="19"/>
        <v>113.8</v>
      </c>
      <c r="W67" s="176">
        <f t="shared" si="16"/>
        <v>1836.54</v>
      </c>
      <c r="X67" s="183"/>
      <c r="Y67" s="183">
        <v>250</v>
      </c>
      <c r="Z67"/>
    </row>
    <row r="68" spans="5:26" x14ac:dyDescent="0.25">
      <c r="G68" s="2"/>
      <c r="P68" s="43"/>
      <c r="Q68" s="196"/>
      <c r="R68" s="43"/>
      <c r="T68" s="186"/>
      <c r="U68" s="185"/>
      <c r="X68" s="185"/>
      <c r="Z68" s="2"/>
    </row>
    <row r="69" spans="5:26" x14ac:dyDescent="0.25"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9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5:26" x14ac:dyDescent="0.25">
      <c r="G70" s="2"/>
      <c r="P70" s="43"/>
      <c r="Q70" s="196"/>
      <c r="R70" s="43"/>
      <c r="T70" s="186"/>
      <c r="U70" s="185"/>
      <c r="X70" s="43"/>
      <c r="Z70" s="2"/>
    </row>
    <row r="71" spans="5:26" x14ac:dyDescent="0.25">
      <c r="G71" s="2"/>
      <c r="P71" s="43"/>
      <c r="Q71" s="196"/>
      <c r="R71" s="43"/>
      <c r="T71" s="186"/>
      <c r="X71" s="43"/>
      <c r="Z71" s="2"/>
    </row>
    <row r="72" spans="5:26" x14ac:dyDescent="0.25">
      <c r="G72" s="2"/>
      <c r="P72" s="43"/>
      <c r="Q72" s="197"/>
      <c r="R72" s="43"/>
      <c r="T72" s="186"/>
      <c r="X72" s="43"/>
      <c r="Z72" s="2"/>
    </row>
    <row r="73" spans="5:26" x14ac:dyDescent="0.25">
      <c r="G73" s="2"/>
      <c r="P73" s="43"/>
      <c r="Q73" s="196"/>
      <c r="R73" s="43"/>
      <c r="T73" s="186"/>
      <c r="X73" s="43"/>
      <c r="Z73" s="2"/>
    </row>
    <row r="74" spans="5:26" x14ac:dyDescent="0.25">
      <c r="G74" s="2"/>
      <c r="P74" s="43"/>
      <c r="Q74" s="196"/>
      <c r="R74" s="43"/>
      <c r="T74" s="186"/>
      <c r="X74" s="43"/>
      <c r="Z74" s="2"/>
    </row>
    <row r="75" spans="5:26" x14ac:dyDescent="0.25">
      <c r="G75" s="2"/>
      <c r="P75" s="43"/>
      <c r="Q75" s="196"/>
      <c r="R75" s="43"/>
      <c r="T75" s="186"/>
      <c r="X75" s="43"/>
      <c r="Z75" s="2"/>
    </row>
    <row r="76" spans="5:26" x14ac:dyDescent="0.25">
      <c r="G76" s="2"/>
      <c r="P76" s="43"/>
      <c r="Q76" s="196"/>
      <c r="R76" s="43"/>
      <c r="T76" s="186"/>
      <c r="X76" s="43"/>
      <c r="Z76" s="2"/>
    </row>
    <row r="77" spans="5:26" x14ac:dyDescent="0.25">
      <c r="G77" s="2"/>
      <c r="P77" s="43"/>
      <c r="Q77" s="196"/>
      <c r="R77" s="43"/>
      <c r="T77" s="186"/>
      <c r="X77" s="43"/>
      <c r="Z77" s="2"/>
    </row>
    <row r="78" spans="5:26" x14ac:dyDescent="0.25">
      <c r="G78" s="2"/>
      <c r="P78" s="43"/>
      <c r="Q78" s="196"/>
      <c r="R78" s="43"/>
      <c r="T78" s="186"/>
      <c r="X78" s="43"/>
      <c r="Z78" s="2"/>
    </row>
    <row r="91" spans="1:25" s="118" customFormat="1" ht="15.75" thickBot="1" x14ac:dyDescent="0.3">
      <c r="A91" s="2"/>
      <c r="B91" s="2"/>
      <c r="C91" s="2"/>
      <c r="D91" s="2"/>
      <c r="E91" s="2"/>
      <c r="F91" s="2" t="s">
        <v>289</v>
      </c>
      <c r="G91" s="43"/>
      <c r="H91" s="43"/>
      <c r="I91" s="43"/>
      <c r="J91" s="43"/>
      <c r="K91" s="43"/>
      <c r="L91" s="43"/>
      <c r="M91" s="43"/>
      <c r="N91" s="43"/>
      <c r="O91" s="43"/>
      <c r="P91" s="196"/>
      <c r="Q91" s="43"/>
      <c r="R91" s="186"/>
      <c r="S91" s="186"/>
      <c r="T91" s="43"/>
      <c r="U91" s="43"/>
      <c r="V91" s="43"/>
      <c r="W91" s="43"/>
      <c r="X91" s="2"/>
      <c r="Y91" s="2"/>
    </row>
    <row r="92" spans="1:25" s="118" customFormat="1" ht="33" customHeight="1" thickBot="1" x14ac:dyDescent="0.3">
      <c r="A92" s="123" t="s">
        <v>279</v>
      </c>
      <c r="B92" s="67" t="s">
        <v>249</v>
      </c>
      <c r="C92" s="67" t="s">
        <v>250</v>
      </c>
      <c r="D92" s="67" t="s">
        <v>251</v>
      </c>
      <c r="E92" s="124" t="s">
        <v>0</v>
      </c>
      <c r="F92" s="125" t="s">
        <v>280</v>
      </c>
      <c r="G92" s="126" t="s">
        <v>281</v>
      </c>
      <c r="H92" s="126" t="s">
        <v>254</v>
      </c>
      <c r="I92" s="126" t="s">
        <v>257</v>
      </c>
      <c r="J92" s="126" t="s">
        <v>261</v>
      </c>
      <c r="K92" s="126" t="s">
        <v>282</v>
      </c>
      <c r="L92" s="126" t="s">
        <v>283</v>
      </c>
      <c r="M92" s="174" t="s">
        <v>264</v>
      </c>
      <c r="N92" s="126" t="s">
        <v>265</v>
      </c>
      <c r="O92" s="126" t="s">
        <v>55</v>
      </c>
      <c r="P92" s="194" t="s">
        <v>1</v>
      </c>
      <c r="Q92" s="126" t="s">
        <v>284</v>
      </c>
      <c r="R92" s="128" t="s">
        <v>56</v>
      </c>
      <c r="S92" s="128"/>
      <c r="T92" s="126" t="s">
        <v>285</v>
      </c>
      <c r="U92" s="126" t="s">
        <v>286</v>
      </c>
      <c r="V92" s="126" t="s">
        <v>272</v>
      </c>
      <c r="W92" s="126" t="s">
        <v>273</v>
      </c>
      <c r="X92" s="126" t="s">
        <v>287</v>
      </c>
      <c r="Y92" s="126" t="s">
        <v>288</v>
      </c>
    </row>
    <row r="93" spans="1:25" s="118" customFormat="1" ht="9" customHeight="1" x14ac:dyDescent="0.25">
      <c r="A93" s="4" t="s">
        <v>24</v>
      </c>
      <c r="B93" s="73" t="s">
        <v>58</v>
      </c>
      <c r="C93" s="73" t="s">
        <v>25</v>
      </c>
      <c r="D93" s="73"/>
      <c r="E93" s="148">
        <v>2</v>
      </c>
      <c r="F93" s="149" t="s">
        <v>240</v>
      </c>
      <c r="G93" s="150">
        <v>216.67</v>
      </c>
      <c r="H93" s="132">
        <f t="shared" ref="H93" si="21">G93*15</f>
        <v>3250.0499999999997</v>
      </c>
      <c r="I93" s="150"/>
      <c r="J93" s="149">
        <v>0</v>
      </c>
      <c r="K93" s="149"/>
      <c r="L93" s="150"/>
      <c r="M93" s="150"/>
      <c r="N93" s="149"/>
      <c r="O93" s="150">
        <f t="shared" ref="O93" si="22">SUM(H93:N93)</f>
        <v>3250.0499999999997</v>
      </c>
      <c r="P93" s="149">
        <v>249.52</v>
      </c>
      <c r="Q93" s="149"/>
      <c r="R93" s="151"/>
      <c r="S93" s="151"/>
      <c r="T93" s="149"/>
      <c r="U93" s="149"/>
      <c r="V93" s="150">
        <f>SUM(P93:U93)</f>
        <v>249.52</v>
      </c>
      <c r="W93" s="135">
        <f>O93-V93</f>
        <v>3000.5299999999997</v>
      </c>
      <c r="X93" s="133">
        <v>100</v>
      </c>
      <c r="Y93" s="133"/>
    </row>
    <row r="106" spans="1:25" s="118" customFormat="1" ht="15.75" thickBot="1" x14ac:dyDescent="0.3">
      <c r="A106" s="2"/>
      <c r="B106" s="2"/>
      <c r="C106" s="2"/>
      <c r="D106" s="2"/>
      <c r="E106" s="2"/>
      <c r="F106" s="2" t="s">
        <v>289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196"/>
      <c r="Q106" s="43"/>
      <c r="R106" s="186"/>
      <c r="S106" s="186"/>
      <c r="T106" s="43"/>
      <c r="U106" s="43"/>
      <c r="V106" s="43"/>
      <c r="W106" s="43"/>
      <c r="X106" s="2"/>
      <c r="Y106" s="2"/>
    </row>
    <row r="107" spans="1:25" s="118" customFormat="1" ht="33" customHeight="1" thickBot="1" x14ac:dyDescent="0.3">
      <c r="A107" s="123" t="s">
        <v>279</v>
      </c>
      <c r="B107" s="67" t="s">
        <v>249</v>
      </c>
      <c r="C107" s="67" t="s">
        <v>250</v>
      </c>
      <c r="D107" s="67" t="s">
        <v>251</v>
      </c>
      <c r="E107" s="124" t="s">
        <v>0</v>
      </c>
      <c r="F107" s="125" t="s">
        <v>280</v>
      </c>
      <c r="G107" s="126" t="s">
        <v>281</v>
      </c>
      <c r="H107" s="126" t="s">
        <v>254</v>
      </c>
      <c r="I107" s="126" t="s">
        <v>257</v>
      </c>
      <c r="J107" s="126" t="s">
        <v>261</v>
      </c>
      <c r="K107" s="126" t="s">
        <v>282</v>
      </c>
      <c r="L107" s="126" t="s">
        <v>283</v>
      </c>
      <c r="M107" s="174" t="s">
        <v>264</v>
      </c>
      <c r="N107" s="126" t="s">
        <v>265</v>
      </c>
      <c r="O107" s="126" t="s">
        <v>55</v>
      </c>
      <c r="P107" s="194" t="s">
        <v>1</v>
      </c>
      <c r="Q107" s="126" t="s">
        <v>284</v>
      </c>
      <c r="R107" s="128" t="s">
        <v>56</v>
      </c>
      <c r="S107" s="128"/>
      <c r="T107" s="126" t="s">
        <v>285</v>
      </c>
      <c r="U107" s="126" t="s">
        <v>286</v>
      </c>
      <c r="V107" s="126" t="s">
        <v>272</v>
      </c>
      <c r="W107" s="126" t="s">
        <v>273</v>
      </c>
      <c r="X107" s="126" t="s">
        <v>287</v>
      </c>
      <c r="Y107" s="126" t="s">
        <v>288</v>
      </c>
    </row>
    <row r="108" spans="1:25" s="118" customFormat="1" ht="9" customHeight="1" x14ac:dyDescent="0.25">
      <c r="A108" s="4" t="s">
        <v>24</v>
      </c>
      <c r="B108" s="73" t="s">
        <v>58</v>
      </c>
      <c r="C108" s="73" t="s">
        <v>25</v>
      </c>
      <c r="D108" s="73"/>
      <c r="E108" s="148">
        <v>2</v>
      </c>
      <c r="F108" s="149" t="s">
        <v>293</v>
      </c>
      <c r="G108" s="132">
        <v>104</v>
      </c>
      <c r="H108" s="132">
        <f t="shared" ref="H108" si="23">G108*15</f>
        <v>1560</v>
      </c>
      <c r="I108" s="131"/>
      <c r="J108" s="133"/>
      <c r="K108" s="132">
        <f>G108</f>
        <v>104</v>
      </c>
      <c r="L108" s="131">
        <f t="shared" ref="L108" si="24">Y108+X108</f>
        <v>100</v>
      </c>
      <c r="M108" s="132"/>
      <c r="N108" s="132">
        <v>0</v>
      </c>
      <c r="O108" s="132">
        <f t="shared" ref="O108" si="25">SUM(H108:N108)</f>
        <v>1764</v>
      </c>
      <c r="P108" s="131">
        <v>101.88</v>
      </c>
      <c r="Q108" s="149"/>
      <c r="R108" s="151"/>
      <c r="S108" s="151"/>
      <c r="T108" s="149"/>
      <c r="U108" s="149"/>
      <c r="V108" s="150">
        <f>SUM(P108:U108)</f>
        <v>101.88</v>
      </c>
      <c r="W108" s="135">
        <f>O108-V108</f>
        <v>1662.12</v>
      </c>
      <c r="X108" s="133">
        <v>100</v>
      </c>
      <c r="Y108" s="133"/>
    </row>
  </sheetData>
  <pageMargins left="0.42" right="0.42" top="0" bottom="0" header="0" footer="0"/>
  <pageSetup paperSize="190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CONCENTRADO MENSUAL ENERO</vt:lpstr>
      <vt:lpstr>CONCENTRADO MENSUAL FEBRERO</vt:lpstr>
      <vt:lpstr>CONCENTRADO MENSUAL MARZO</vt:lpstr>
      <vt:lpstr>EB1</vt:lpstr>
      <vt:lpstr>EE1</vt:lpstr>
      <vt:lpstr>EB2</vt:lpstr>
      <vt:lpstr>EE2</vt:lpstr>
      <vt:lpstr>FB1</vt:lpstr>
      <vt:lpstr>FE1</vt:lpstr>
      <vt:lpstr>FB2</vt:lpstr>
      <vt:lpstr>FE2</vt:lpstr>
      <vt:lpstr>MB1</vt:lpstr>
      <vt:lpstr>ME1</vt:lpstr>
      <vt:lpstr>MB2</vt:lpstr>
      <vt:lpstr>ME2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cp:lastPrinted>2016-06-10T15:49:03Z</cp:lastPrinted>
  <dcterms:created xsi:type="dcterms:W3CDTF">2016-06-09T18:40:26Z</dcterms:created>
  <dcterms:modified xsi:type="dcterms:W3CDTF">2017-04-10T19:53:02Z</dcterms:modified>
</cp:coreProperties>
</file>